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ditoagricola.sharepoint.com/sites/ApoioComercialeCanaisDO-Ttulos/Shared Documents/Eventos/OPS-A-V-T/2024/Mota-Engil 2024-2029/Documentos Finais/"/>
    </mc:Choice>
  </mc:AlternateContent>
  <xr:revisionPtr revIDLastSave="718" documentId="8_{16252FD8-68CD-4DBE-B673-F0F2AAB169E8}" xr6:coauthVersionLast="47" xr6:coauthVersionMax="47" xr10:uidLastSave="{4F503C3A-4ECD-479E-AB6A-D8777FCB03B7}"/>
  <workbookProtection workbookAlgorithmName="SHA-512" workbookHashValue="CyCvCxR2Iq6mjR9HMkb99KRsi7AF+IDozu5Wfb8sgOiQN0N4qYOdO6cXuXDw1QFrofOpEe+K+M2e8r0n4zAyyQ==" workbookSaltValue="a9QO8nlJGgl9heNqqqAV0w==" workbookSpinCount="100000" lockStructure="1"/>
  <bookViews>
    <workbookView xWindow="28680" yWindow="-120" windowWidth="29040" windowHeight="15840" tabRatio="801" firstSheet="11" activeTab="11" xr2:uid="{00000000-000D-0000-FFFF-FFFF00000000}"/>
  </bookViews>
  <sheets>
    <sheet name="FOLHA" sheetId="1" state="hidden" r:id="rId1"/>
    <sheet name="TIR" sheetId="2" state="hidden" r:id="rId2"/>
    <sheet name="Mota Engil 2024-2029" sheetId="4" state="hidden" r:id="rId3"/>
    <sheet name="Calendário" sheetId="9" state="hidden" r:id="rId4"/>
    <sheet name="Quadro de Rendibilidades" sheetId="6" state="hidden" r:id="rId5"/>
    <sheet name="Fluxograma" sheetId="10" state="hidden" r:id="rId6"/>
    <sheet name="Checklist" sheetId="11" state="hidden" r:id="rId7"/>
    <sheet name="CA Online" sheetId="12" state="hidden" r:id="rId8"/>
    <sheet name="Imagens" sheetId="8" state="hidden" r:id="rId9"/>
    <sheet name="Teste" sheetId="13" state="hidden" r:id="rId10"/>
    <sheet name="FOLHA (CAS)" sheetId="14" state="hidden" r:id="rId11"/>
    <sheet name="FOLHA (Online)" sheetId="15" r:id="rId12"/>
    <sheet name="FOLHA (Troca)" sheetId="19" state="hidden" r:id="rId13"/>
    <sheet name="Queri" sheetId="20" state="hidden" r:id="rId14"/>
  </sheets>
  <definedNames>
    <definedName name="_xlnm._FilterDatabase" localSheetId="0" hidden="1">FOLHA!$F$25:$H$25</definedName>
    <definedName name="_xlnm._FilterDatabase" localSheetId="10" hidden="1">'FOLHA (CAS)'!$F$25:$H$25</definedName>
    <definedName name="_xlnm._FilterDatabase" localSheetId="11" hidden="1">'FOLHA (Online)'!$F$25:$H$25</definedName>
    <definedName name="_xlnm._FilterDatabase" localSheetId="12" hidden="1">'FOLHA (Troca)'!$F$25:$H$25</definedName>
    <definedName name="_xlnm.Print_Area" localSheetId="7">'CA Online'!$B$1:$N$267</definedName>
    <definedName name="_xlnm.Print_Area" localSheetId="3">Calendário!$B$1:$U$18</definedName>
    <definedName name="_xlnm.Print_Area" localSheetId="6">Checklist!$A$1:$D$71</definedName>
    <definedName name="_xlnm.Print_Area" localSheetId="5">Fluxograma!$A$1:$L$40</definedName>
    <definedName name="_xlnm.Print_Area" localSheetId="0">FOLHA!$F$1:$O$200</definedName>
    <definedName name="_xlnm.Print_Area" localSheetId="10">'FOLHA (CAS)'!$F$1:$O$128</definedName>
    <definedName name="_xlnm.Print_Area" localSheetId="11">'FOLHA (Online)'!$F$1:$O$128</definedName>
    <definedName name="_xlnm.Print_Area" localSheetId="12">'FOLHA (Troca)'!$F$1:$O$200</definedName>
    <definedName name="_xlnm.Print_Area" localSheetId="4">'Quadro de Rendibilidades'!$B$2:$I$20</definedName>
    <definedName name="solver_adj" localSheetId="1" hidden="1">TIR!$S$248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TIR!$S$247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  <definedName name="Z_E5DD0799_20B4_402F_85BC_F738FD6BB8CA_.wvu.PrintArea" localSheetId="0" hidden="1">FOLHA!#REF!</definedName>
    <definedName name="Z_E5DD0799_20B4_402F_85BC_F738FD6BB8CA_.wvu.PrintArea" localSheetId="10" hidden="1">'FOLHA (CAS)'!#REF!</definedName>
    <definedName name="Z_E5DD0799_20B4_402F_85BC_F738FD6BB8CA_.wvu.PrintArea" localSheetId="11" hidden="1">'FOLHA (Online)'!#REF!</definedName>
    <definedName name="Z_E5DD0799_20B4_402F_85BC_F738FD6BB8CA_.wvu.PrintArea" localSheetId="12" hidden="1">'FOLHA (Troca)'!#REF!</definedName>
    <definedName name="Z_E5DD0799_20B4_402F_85BC_F738FD6BB8CA_.wvu.Rows" localSheetId="0" hidden="1">FOLHA!$16:$24</definedName>
    <definedName name="Z_E5DD0799_20B4_402F_85BC_F738FD6BB8CA_.wvu.Rows" localSheetId="10" hidden="1">'FOLHA (CAS)'!$16:$24</definedName>
    <definedName name="Z_E5DD0799_20B4_402F_85BC_F738FD6BB8CA_.wvu.Rows" localSheetId="11" hidden="1">'FOLHA (Online)'!$16:$24</definedName>
    <definedName name="Z_E5DD0799_20B4_402F_85BC_F738FD6BB8CA_.wvu.Rows" localSheetId="12" hidden="1">'FOLHA (Troca)'!$16:$24</definedName>
  </definedNames>
  <calcPr calcId="191029"/>
  <customWorkbookViews>
    <customWorkbookView name="Administrator - Personal View" guid="{E5DD0799-20B4-402F-85BC-F738FD6BB8CA}" mergeInterval="0" personalView="1" xWindow="179" yWindow="221" windowWidth="960" windowHeight="74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1" i="2" l="1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80" i="2"/>
  <c r="F16" i="13" l="1"/>
  <c r="F15" i="13"/>
  <c r="F13" i="13"/>
  <c r="F9" i="13"/>
  <c r="F10" i="13"/>
  <c r="F11" i="13"/>
  <c r="F12" i="13"/>
  <c r="F4" i="13"/>
  <c r="F5" i="13"/>
  <c r="F6" i="13"/>
  <c r="F7" i="13"/>
  <c r="F8" i="13"/>
  <c r="C36" i="4"/>
  <c r="B7" i="2"/>
  <c r="C18" i="4" l="1"/>
  <c r="C35" i="4"/>
  <c r="F20" i="4"/>
  <c r="A1" i="19"/>
  <c r="A1" i="15"/>
  <c r="A1" i="14"/>
  <c r="A1" i="1"/>
  <c r="W11" i="2"/>
  <c r="W10" i="2"/>
  <c r="W9" i="2"/>
  <c r="W8" i="2"/>
  <c r="V10" i="2"/>
  <c r="V9" i="2"/>
  <c r="V8" i="2"/>
  <c r="U10" i="2"/>
  <c r="U9" i="2"/>
  <c r="U8" i="2"/>
  <c r="H17" i="19"/>
  <c r="AG301" i="19"/>
  <c r="AG300" i="19"/>
  <c r="AG299" i="19"/>
  <c r="AG298" i="19"/>
  <c r="AG297" i="19"/>
  <c r="AG296" i="19"/>
  <c r="AG295" i="19"/>
  <c r="AG294" i="19"/>
  <c r="AG293" i="19"/>
  <c r="AG292" i="19"/>
  <c r="AG291" i="19"/>
  <c r="AG290" i="19"/>
  <c r="AG289" i="19"/>
  <c r="AG288" i="19"/>
  <c r="AG287" i="19"/>
  <c r="AG286" i="19"/>
  <c r="AG285" i="19"/>
  <c r="AG284" i="19"/>
  <c r="AG283" i="19"/>
  <c r="AG282" i="19"/>
  <c r="AG281" i="19"/>
  <c r="AG280" i="19"/>
  <c r="AG279" i="19"/>
  <c r="AG278" i="19"/>
  <c r="AG277" i="19"/>
  <c r="AG276" i="19"/>
  <c r="AG275" i="19"/>
  <c r="AG274" i="19"/>
  <c r="AG273" i="19"/>
  <c r="AG272" i="19"/>
  <c r="AG271" i="19"/>
  <c r="AG270" i="19"/>
  <c r="AG269" i="19"/>
  <c r="AG268" i="19"/>
  <c r="AG267" i="19"/>
  <c r="AG266" i="19"/>
  <c r="AG265" i="19"/>
  <c r="AG264" i="19"/>
  <c r="AG263" i="19"/>
  <c r="AG262" i="19"/>
  <c r="AG261" i="19"/>
  <c r="H25" i="19"/>
  <c r="V11" i="2" s="1"/>
  <c r="I13" i="19"/>
  <c r="G13" i="19"/>
  <c r="B35" i="2" l="1"/>
  <c r="B37" i="2"/>
  <c r="C20" i="4"/>
  <c r="D20" i="4" s="1"/>
  <c r="B38" i="2"/>
  <c r="U11" i="2"/>
  <c r="K124" i="19"/>
  <c r="F124" i="19"/>
  <c r="O76" i="19"/>
  <c r="M76" i="19"/>
  <c r="L76" i="19"/>
  <c r="H76" i="19"/>
  <c r="F54" i="19"/>
  <c r="F41" i="19"/>
  <c r="K29" i="19"/>
  <c r="F28" i="19"/>
  <c r="M23" i="19"/>
  <c r="M17" i="19"/>
  <c r="N15" i="19"/>
  <c r="M15" i="19"/>
  <c r="L15" i="19"/>
  <c r="M13" i="19"/>
  <c r="N11" i="19"/>
  <c r="K124" i="15"/>
  <c r="F124" i="15"/>
  <c r="O76" i="15"/>
  <c r="M76" i="15"/>
  <c r="L76" i="15"/>
  <c r="H76" i="15"/>
  <c r="F54" i="15"/>
  <c r="F41" i="15"/>
  <c r="K29" i="15"/>
  <c r="F28" i="15"/>
  <c r="M23" i="15"/>
  <c r="M17" i="15"/>
  <c r="M15" i="15"/>
  <c r="M13" i="15"/>
  <c r="N11" i="15"/>
  <c r="K124" i="14"/>
  <c r="F124" i="14"/>
  <c r="O76" i="14"/>
  <c r="M76" i="14"/>
  <c r="L76" i="14"/>
  <c r="H76" i="14"/>
  <c r="F54" i="14"/>
  <c r="F41" i="14"/>
  <c r="K29" i="14"/>
  <c r="F28" i="14"/>
  <c r="M23" i="14"/>
  <c r="M17" i="14"/>
  <c r="M15" i="14"/>
  <c r="M13" i="14"/>
  <c r="N11" i="14"/>
  <c r="K18" i="2"/>
  <c r="K15" i="2"/>
  <c r="K12" i="2"/>
  <c r="K17" i="2"/>
  <c r="K16" i="2"/>
  <c r="K14" i="2"/>
  <c r="K13" i="2"/>
  <c r="K11" i="2"/>
  <c r="K10" i="2"/>
  <c r="K9" i="2"/>
  <c r="K8" i="2"/>
  <c r="B33" i="12"/>
  <c r="B1" i="12"/>
  <c r="R10" i="2" l="1"/>
  <c r="R9" i="2"/>
  <c r="R8" i="2"/>
  <c r="N19" i="2"/>
  <c r="Q9" i="2" s="1"/>
  <c r="O19" i="2"/>
  <c r="Q10" i="2" s="1"/>
  <c r="M19" i="2"/>
  <c r="Q8" i="2" s="1"/>
  <c r="B31" i="4" l="1"/>
  <c r="AB82" i="2"/>
  <c r="F55" i="2"/>
  <c r="B3" i="9" l="1"/>
  <c r="F41" i="1"/>
  <c r="K124" i="1"/>
  <c r="F124" i="1"/>
  <c r="H76" i="1"/>
  <c r="L76" i="1"/>
  <c r="M76" i="1"/>
  <c r="O76" i="1"/>
  <c r="K29" i="1" l="1"/>
  <c r="C19" i="4"/>
  <c r="F54" i="1" l="1"/>
  <c r="B20" i="2" l="1"/>
  <c r="B19" i="2"/>
  <c r="B18" i="2"/>
  <c r="B17" i="2"/>
  <c r="B13" i="2"/>
  <c r="B12" i="2"/>
  <c r="B16" i="2" s="1"/>
  <c r="B8" i="2"/>
  <c r="F15" i="19"/>
  <c r="H21" i="14" l="1"/>
  <c r="H21" i="19"/>
  <c r="H21" i="15"/>
  <c r="F15" i="14"/>
  <c r="F1" i="14" s="1"/>
  <c r="F15" i="15"/>
  <c r="F1" i="15" s="1"/>
  <c r="M6" i="9"/>
  <c r="K6" i="9"/>
  <c r="A1" i="11"/>
  <c r="A1" i="10" l="1"/>
  <c r="B17" i="4" l="1"/>
  <c r="B15" i="2" s="1"/>
  <c r="B1" i="9" l="1"/>
  <c r="R4" i="9"/>
  <c r="R5" i="9"/>
  <c r="L10" i="9" l="1"/>
  <c r="C3" i="9" l="1"/>
  <c r="D3" i="9" s="1"/>
  <c r="C28" i="4"/>
  <c r="D28" i="4" s="1"/>
  <c r="C26" i="4"/>
  <c r="D26" i="4" s="1"/>
  <c r="C27" i="4"/>
  <c r="D27" i="4" s="1"/>
  <c r="B5" i="9" s="1"/>
  <c r="C25" i="4"/>
  <c r="D25" i="4" s="1"/>
  <c r="E3" i="9" l="1"/>
  <c r="F3" i="9" s="1"/>
  <c r="G3" i="9" s="1"/>
  <c r="H3" i="9" s="1"/>
  <c r="B4" i="9"/>
  <c r="E28" i="4"/>
  <c r="F34" i="19" s="1"/>
  <c r="B14" i="2"/>
  <c r="F34" i="1" l="1"/>
  <c r="F34" i="15"/>
  <c r="F34" i="14"/>
  <c r="I3" i="9"/>
  <c r="J3" i="9" l="1"/>
  <c r="K3" i="9" l="1"/>
  <c r="Q55" i="2"/>
  <c r="R54" i="2"/>
  <c r="Q54" i="2"/>
  <c r="B29" i="2"/>
  <c r="A29" i="2" s="1"/>
  <c r="A28" i="2"/>
  <c r="A48" i="2" s="1"/>
  <c r="A27" i="2"/>
  <c r="A47" i="2" s="1"/>
  <c r="C47" i="2" s="1"/>
  <c r="I61" i="2" s="1"/>
  <c r="A26" i="2"/>
  <c r="A46" i="2" s="1"/>
  <c r="B46" i="2" s="1"/>
  <c r="D46" i="2" s="1"/>
  <c r="F46" i="2" s="1"/>
  <c r="A25" i="2"/>
  <c r="A45" i="2" s="1"/>
  <c r="A24" i="2"/>
  <c r="A44" i="2" s="1"/>
  <c r="A23" i="2"/>
  <c r="A43" i="2" s="1"/>
  <c r="C43" i="2" s="1"/>
  <c r="I57" i="2" s="1"/>
  <c r="L3" i="9" l="1"/>
  <c r="C48" i="2"/>
  <c r="I62" i="2" s="1"/>
  <c r="B48" i="2"/>
  <c r="D48" i="2" s="1"/>
  <c r="F48" i="2" s="1"/>
  <c r="C45" i="2"/>
  <c r="I59" i="2" s="1"/>
  <c r="B45" i="2"/>
  <c r="C46" i="2"/>
  <c r="I60" i="2" s="1"/>
  <c r="M60" i="2"/>
  <c r="B47" i="2"/>
  <c r="D47" i="2" s="1"/>
  <c r="F47" i="2" s="1"/>
  <c r="C44" i="2"/>
  <c r="I58" i="2" s="1"/>
  <c r="D45" i="2" l="1"/>
  <c r="F45" i="2" s="1"/>
  <c r="O59" i="2" s="1"/>
  <c r="M3" i="9"/>
  <c r="O62" i="2"/>
  <c r="N62" i="2"/>
  <c r="M62" i="2"/>
  <c r="M59" i="2"/>
  <c r="M61" i="2"/>
  <c r="O60" i="2"/>
  <c r="N60" i="2"/>
  <c r="N59" i="2" l="1"/>
  <c r="N3" i="9"/>
  <c r="N61" i="2"/>
  <c r="O61" i="2"/>
  <c r="O3" i="9" l="1"/>
  <c r="M23" i="1"/>
  <c r="H21" i="1"/>
  <c r="P3" i="9" l="1"/>
  <c r="F15" i="1"/>
  <c r="Q3" i="9" l="1"/>
  <c r="M15" i="1"/>
  <c r="F28" i="1"/>
  <c r="R3" i="9" l="1"/>
  <c r="S3" i="9" s="1"/>
  <c r="C55" i="2"/>
  <c r="B55" i="2"/>
  <c r="A55" i="2"/>
  <c r="D55" i="2" s="1"/>
  <c r="A56" i="2" l="1"/>
  <c r="E56" i="2" l="1"/>
  <c r="R55" i="2"/>
  <c r="A80" i="2"/>
  <c r="M54" i="2"/>
  <c r="Q56" i="2" l="1"/>
  <c r="J54" i="2"/>
  <c r="M17" i="1" l="1"/>
  <c r="M13" i="1"/>
  <c r="N11" i="1"/>
  <c r="C37" i="2" l="1"/>
  <c r="K27" i="14" l="1"/>
  <c r="K27" i="15"/>
  <c r="K27" i="19"/>
  <c r="B36" i="2"/>
  <c r="B43" i="2"/>
  <c r="D43" i="2" s="1"/>
  <c r="F43" i="2" s="1"/>
  <c r="B44" i="2"/>
  <c r="D44" i="2" s="1"/>
  <c r="F44" i="2" s="1"/>
  <c r="K27" i="1"/>
  <c r="F78" i="2"/>
  <c r="B42" i="2"/>
  <c r="C41" i="2"/>
  <c r="I54" i="2" s="1"/>
  <c r="C42" i="2"/>
  <c r="I56" i="2" s="1"/>
  <c r="T55" i="2" s="1"/>
  <c r="H19" i="15" l="1"/>
  <c r="H19" i="19"/>
  <c r="H19" i="14"/>
  <c r="J56" i="2"/>
  <c r="S55" i="2" s="1"/>
  <c r="U55" i="2" s="1"/>
  <c r="M57" i="2"/>
  <c r="M58" i="2"/>
  <c r="H19" i="1"/>
  <c r="C116" i="2"/>
  <c r="B116" i="2"/>
  <c r="A116" i="2"/>
  <c r="B39" i="2"/>
  <c r="B32" i="2"/>
  <c r="N58" i="2" l="1"/>
  <c r="O58" i="2"/>
  <c r="B56" i="2"/>
  <c r="C56" i="2" s="1"/>
  <c r="D56" i="2" s="1"/>
  <c r="F56" i="2" s="1"/>
  <c r="O57" i="2"/>
  <c r="N57" i="2"/>
  <c r="D116" i="2"/>
  <c r="A117" i="2" s="1"/>
  <c r="L11" i="9" l="1"/>
  <c r="B117" i="2"/>
  <c r="C117" i="2" s="1"/>
  <c r="B79" i="2"/>
  <c r="C79" i="2" s="1"/>
  <c r="A151" i="2" l="1"/>
  <c r="A152" i="2"/>
  <c r="B80" i="2"/>
  <c r="L80" i="2" s="1"/>
  <c r="M80" i="2" s="1"/>
  <c r="R56" i="2"/>
  <c r="A57" i="2"/>
  <c r="L79" i="2"/>
  <c r="M79" i="2" s="1"/>
  <c r="D117" i="2"/>
  <c r="E117" i="2" s="1"/>
  <c r="F117" i="2" l="1"/>
  <c r="G117" i="2"/>
  <c r="A168" i="2" s="1"/>
  <c r="J80" i="2"/>
  <c r="K80" i="2"/>
  <c r="N80" i="2"/>
  <c r="O80" i="2" s="1"/>
  <c r="S56" i="2"/>
  <c r="T56" i="2"/>
  <c r="U56" i="2" s="1"/>
  <c r="B57" i="2"/>
  <c r="C57" i="2" s="1"/>
  <c r="D57" i="2" s="1"/>
  <c r="E57" i="2"/>
  <c r="A118" i="2"/>
  <c r="B118" i="2" s="1"/>
  <c r="C118" i="2" s="1"/>
  <c r="D118" i="2" s="1"/>
  <c r="E118" i="2" s="1"/>
  <c r="N79" i="2"/>
  <c r="P79" i="2" s="1"/>
  <c r="F57" i="2" l="1"/>
  <c r="F11" i="9"/>
  <c r="F118" i="2"/>
  <c r="G118" i="2"/>
  <c r="A169" i="2" s="1"/>
  <c r="L12" i="9"/>
  <c r="P80" i="2"/>
  <c r="R57" i="2"/>
  <c r="Q80" i="2"/>
  <c r="V80" i="2" s="1"/>
  <c r="U80" i="2"/>
  <c r="A81" i="2"/>
  <c r="Q57" i="2"/>
  <c r="A58" i="2"/>
  <c r="B81" i="2"/>
  <c r="Q79" i="2"/>
  <c r="O79" i="2"/>
  <c r="A119" i="2"/>
  <c r="B119" i="2" s="1"/>
  <c r="S80" i="2" l="1"/>
  <c r="W80" i="2" s="1"/>
  <c r="A153" i="2"/>
  <c r="T80" i="2"/>
  <c r="T57" i="2"/>
  <c r="S57" i="2"/>
  <c r="L81" i="2"/>
  <c r="J81" i="2"/>
  <c r="E58" i="2"/>
  <c r="B58" i="2"/>
  <c r="C58" i="2" s="1"/>
  <c r="D58" i="2" s="1"/>
  <c r="K81" i="2"/>
  <c r="C119" i="2"/>
  <c r="D119" i="2" s="1"/>
  <c r="E119" i="2" s="1"/>
  <c r="D80" i="2" l="1"/>
  <c r="E80" i="2" s="1"/>
  <c r="F58" i="2"/>
  <c r="F12" i="9"/>
  <c r="F119" i="2"/>
  <c r="G119" i="2"/>
  <c r="A170" i="2" s="1"/>
  <c r="L13" i="9"/>
  <c r="U57" i="2"/>
  <c r="A82" i="2"/>
  <c r="Q58" i="2"/>
  <c r="B82" i="2"/>
  <c r="A59" i="2"/>
  <c r="M81" i="2"/>
  <c r="N81" i="2"/>
  <c r="A120" i="2"/>
  <c r="B120" i="2" s="1"/>
  <c r="C120" i="2" s="1"/>
  <c r="D120" i="2" s="1"/>
  <c r="E120" i="2" s="1"/>
  <c r="F80" i="2" l="1"/>
  <c r="G80" i="2"/>
  <c r="H80" i="2" s="1"/>
  <c r="X80" i="2"/>
  <c r="A154" i="2"/>
  <c r="F120" i="2"/>
  <c r="G120" i="2"/>
  <c r="A171" i="2" s="1"/>
  <c r="R58" i="2"/>
  <c r="T58" i="2" s="1"/>
  <c r="U58" i="2" s="1"/>
  <c r="P81" i="2"/>
  <c r="O81" i="2"/>
  <c r="U81" i="2" s="1"/>
  <c r="Q81" i="2"/>
  <c r="V81" i="2" s="1"/>
  <c r="B59" i="2"/>
  <c r="C59" i="2" s="1"/>
  <c r="D59" i="2" s="1"/>
  <c r="E59" i="2"/>
  <c r="K82" i="2"/>
  <c r="L82" i="2"/>
  <c r="J82" i="2"/>
  <c r="A121" i="2"/>
  <c r="S58" i="2" l="1"/>
  <c r="F59" i="2"/>
  <c r="F13" i="9"/>
  <c r="L14" i="9"/>
  <c r="A83" i="2"/>
  <c r="Q59" i="2"/>
  <c r="N82" i="2"/>
  <c r="M82" i="2"/>
  <c r="A60" i="2"/>
  <c r="T81" i="2"/>
  <c r="S81" i="2"/>
  <c r="W81" i="2" s="1"/>
  <c r="B121" i="2"/>
  <c r="C121" i="2" s="1"/>
  <c r="D81" i="2" l="1"/>
  <c r="E81" i="2" s="1"/>
  <c r="A155" i="2"/>
  <c r="R59" i="2"/>
  <c r="B83" i="2"/>
  <c r="K83" i="2" s="1"/>
  <c r="T59" i="2"/>
  <c r="S59" i="2"/>
  <c r="O82" i="2"/>
  <c r="U82" i="2" s="1"/>
  <c r="P82" i="2"/>
  <c r="Q82" i="2"/>
  <c r="V82" i="2" s="1"/>
  <c r="B60" i="2"/>
  <c r="C60" i="2" s="1"/>
  <c r="D60" i="2" s="1"/>
  <c r="E60" i="2"/>
  <c r="D121" i="2"/>
  <c r="E121" i="2" s="1"/>
  <c r="F81" i="2" l="1"/>
  <c r="G81" i="2"/>
  <c r="H81" i="2" s="1"/>
  <c r="X81" i="2"/>
  <c r="L83" i="2"/>
  <c r="N83" i="2" s="1"/>
  <c r="J83" i="2"/>
  <c r="F14" i="9"/>
  <c r="F60" i="2"/>
  <c r="F121" i="2"/>
  <c r="G121" i="2"/>
  <c r="A172" i="2" s="1"/>
  <c r="L15" i="9"/>
  <c r="U59" i="2"/>
  <c r="A84" i="2"/>
  <c r="Q60" i="2"/>
  <c r="A61" i="2"/>
  <c r="S82" i="2"/>
  <c r="W82" i="2" s="1"/>
  <c r="T82" i="2"/>
  <c r="A122" i="2"/>
  <c r="M83" i="2" l="1"/>
  <c r="D82" i="2"/>
  <c r="E82" i="2" s="1"/>
  <c r="A156" i="2"/>
  <c r="R60" i="2"/>
  <c r="T60" i="2" s="1"/>
  <c r="B84" i="2"/>
  <c r="S60" i="2"/>
  <c r="O83" i="2"/>
  <c r="U83" i="2" s="1"/>
  <c r="Q83" i="2"/>
  <c r="V83" i="2" s="1"/>
  <c r="P83" i="2"/>
  <c r="E61" i="2"/>
  <c r="B61" i="2"/>
  <c r="C61" i="2" s="1"/>
  <c r="D61" i="2" s="1"/>
  <c r="B122" i="2"/>
  <c r="C122" i="2" s="1"/>
  <c r="D122" i="2" s="1"/>
  <c r="E122" i="2" s="1"/>
  <c r="F82" i="2" l="1"/>
  <c r="G82" i="2"/>
  <c r="H82" i="2" s="1"/>
  <c r="X82" i="2"/>
  <c r="F15" i="9"/>
  <c r="F61" i="2"/>
  <c r="F122" i="2"/>
  <c r="G122" i="2"/>
  <c r="A173" i="2" s="1"/>
  <c r="K84" i="2"/>
  <c r="J84" i="2"/>
  <c r="L84" i="2"/>
  <c r="N84" i="2" s="1"/>
  <c r="L16" i="9"/>
  <c r="U60" i="2"/>
  <c r="A85" i="2"/>
  <c r="Q61" i="2"/>
  <c r="B85" i="2"/>
  <c r="A62" i="2"/>
  <c r="S83" i="2"/>
  <c r="W83" i="2" s="1"/>
  <c r="T83" i="2"/>
  <c r="A123" i="2"/>
  <c r="B123" i="2" s="1"/>
  <c r="C123" i="2" s="1"/>
  <c r="D123" i="2" s="1"/>
  <c r="E123" i="2" s="1"/>
  <c r="D83" i="2" l="1"/>
  <c r="E83" i="2" s="1"/>
  <c r="A157" i="2"/>
  <c r="M84" i="2"/>
  <c r="O84" i="2" s="1"/>
  <c r="U84" i="2" s="1"/>
  <c r="F123" i="2"/>
  <c r="G123" i="2"/>
  <c r="A174" i="2" s="1"/>
  <c r="R61" i="2"/>
  <c r="T61" i="2" s="1"/>
  <c r="Q84" i="2"/>
  <c r="V84" i="2" s="1"/>
  <c r="P84" i="2"/>
  <c r="E62" i="2"/>
  <c r="B62" i="2"/>
  <c r="C62" i="2" s="1"/>
  <c r="D62" i="2" s="1"/>
  <c r="L85" i="2"/>
  <c r="J85" i="2"/>
  <c r="K85" i="2"/>
  <c r="A124" i="2"/>
  <c r="B124" i="2" s="1"/>
  <c r="C124" i="2" s="1"/>
  <c r="D124" i="2" s="1"/>
  <c r="E124" i="2" s="1"/>
  <c r="F83" i="2" l="1"/>
  <c r="G83" i="2"/>
  <c r="H83" i="2" s="1"/>
  <c r="X83" i="2"/>
  <c r="F62" i="2"/>
  <c r="F16" i="9"/>
  <c r="F124" i="2"/>
  <c r="G124" i="2"/>
  <c r="A175" i="2" s="1"/>
  <c r="S61" i="2"/>
  <c r="L17" i="9"/>
  <c r="U61" i="2"/>
  <c r="A86" i="2"/>
  <c r="Q62" i="2"/>
  <c r="B86" i="2"/>
  <c r="A63" i="2"/>
  <c r="N85" i="2"/>
  <c r="M85" i="2"/>
  <c r="T84" i="2"/>
  <c r="S84" i="2"/>
  <c r="W84" i="2" s="1"/>
  <c r="A125" i="2"/>
  <c r="B125" i="2" s="1"/>
  <c r="C125" i="2" s="1"/>
  <c r="D125" i="2" s="1"/>
  <c r="E125" i="2" s="1"/>
  <c r="D84" i="2" l="1"/>
  <c r="E84" i="2" s="1"/>
  <c r="A158" i="2"/>
  <c r="F125" i="2"/>
  <c r="G125" i="2"/>
  <c r="A176" i="2" s="1"/>
  <c r="R62" i="2"/>
  <c r="T62" i="2" s="1"/>
  <c r="O85" i="2"/>
  <c r="U85" i="2" s="1"/>
  <c r="L86" i="2"/>
  <c r="K86" i="2"/>
  <c r="J86" i="2"/>
  <c r="P85" i="2"/>
  <c r="Q85" i="2"/>
  <c r="V85" i="2" s="1"/>
  <c r="E63" i="2"/>
  <c r="B63" i="2"/>
  <c r="C63" i="2" s="1"/>
  <c r="A126" i="2"/>
  <c r="B126" i="2" s="1"/>
  <c r="C126" i="2" s="1"/>
  <c r="D126" i="2" s="1"/>
  <c r="E126" i="2" s="1"/>
  <c r="S62" i="2" l="1"/>
  <c r="F84" i="2"/>
  <c r="G84" i="2"/>
  <c r="H84" i="2" s="1"/>
  <c r="X84" i="2"/>
  <c r="D63" i="2"/>
  <c r="L18" i="9" s="1"/>
  <c r="F17" i="9"/>
  <c r="F126" i="2"/>
  <c r="G126" i="2"/>
  <c r="A177" i="2" s="1"/>
  <c r="U62" i="2"/>
  <c r="A87" i="2"/>
  <c r="Q63" i="2"/>
  <c r="M86" i="2"/>
  <c r="N86" i="2"/>
  <c r="T85" i="2"/>
  <c r="S85" i="2"/>
  <c r="W85" i="2" s="1"/>
  <c r="A127" i="2"/>
  <c r="B127" i="2" s="1"/>
  <c r="C127" i="2" s="1"/>
  <c r="D127" i="2" s="1"/>
  <c r="E127" i="2" s="1"/>
  <c r="R63" i="2" l="1"/>
  <c r="D85" i="2"/>
  <c r="E85" i="2" s="1"/>
  <c r="A64" i="2"/>
  <c r="B64" i="2" s="1"/>
  <c r="C64" i="2" s="1"/>
  <c r="B87" i="2"/>
  <c r="L87" i="2" s="1"/>
  <c r="N87" i="2" s="1"/>
  <c r="A159" i="2"/>
  <c r="F63" i="2"/>
  <c r="F127" i="2"/>
  <c r="G127" i="2"/>
  <c r="A178" i="2" s="1"/>
  <c r="S63" i="2"/>
  <c r="T63" i="2"/>
  <c r="U63" i="2" s="1"/>
  <c r="Q86" i="2"/>
  <c r="V86" i="2" s="1"/>
  <c r="O86" i="2"/>
  <c r="U86" i="2" s="1"/>
  <c r="P86" i="2"/>
  <c r="E64" i="2"/>
  <c r="A128" i="2"/>
  <c r="B128" i="2" s="1"/>
  <c r="C128" i="2" s="1"/>
  <c r="D128" i="2" s="1"/>
  <c r="E128" i="2" s="1"/>
  <c r="K87" i="2" l="1"/>
  <c r="F85" i="2"/>
  <c r="G85" i="2"/>
  <c r="H85" i="2" s="1"/>
  <c r="J87" i="2"/>
  <c r="X85" i="2"/>
  <c r="D64" i="2"/>
  <c r="L19" i="9" s="1"/>
  <c r="F18" i="9"/>
  <c r="F128" i="2"/>
  <c r="G128" i="2"/>
  <c r="A179" i="2" s="1"/>
  <c r="A88" i="2"/>
  <c r="Q64" i="2"/>
  <c r="M87" i="2"/>
  <c r="O87" i="2" s="1"/>
  <c r="S86" i="2"/>
  <c r="W86" i="2" s="1"/>
  <c r="T86" i="2"/>
  <c r="P87" i="2"/>
  <c r="S87" i="2" s="1"/>
  <c r="W87" i="2" s="1"/>
  <c r="Q87" i="2"/>
  <c r="A129" i="2"/>
  <c r="B129" i="2" s="1"/>
  <c r="C129" i="2" s="1"/>
  <c r="D129" i="2" s="1"/>
  <c r="E129" i="2" s="1"/>
  <c r="F64" i="2" l="1"/>
  <c r="V87" i="2"/>
  <c r="D87" i="2"/>
  <c r="E87" i="2" s="1"/>
  <c r="D86" i="2"/>
  <c r="E86" i="2" s="1"/>
  <c r="U87" i="2"/>
  <c r="A160" i="2"/>
  <c r="R64" i="2"/>
  <c r="T64" i="2" s="1"/>
  <c r="A65" i="2"/>
  <c r="B65" i="2" s="1"/>
  <c r="C65" i="2" s="1"/>
  <c r="B88" i="2"/>
  <c r="F129" i="2"/>
  <c r="G129" i="2"/>
  <c r="A180" i="2" s="1"/>
  <c r="J88" i="2"/>
  <c r="L88" i="2"/>
  <c r="N88" i="2" s="1"/>
  <c r="K88" i="2"/>
  <c r="T87" i="2"/>
  <c r="A130" i="2"/>
  <c r="B130" i="2" s="1"/>
  <c r="C130" i="2" s="1"/>
  <c r="D130" i="2" s="1"/>
  <c r="E130" i="2" s="1"/>
  <c r="S64" i="2" l="1"/>
  <c r="F86" i="2"/>
  <c r="G86" i="2"/>
  <c r="H86" i="2" s="1"/>
  <c r="E65" i="2"/>
  <c r="Q65" i="2" s="1"/>
  <c r="X86" i="2"/>
  <c r="F87" i="2"/>
  <c r="G87" i="2"/>
  <c r="H87" i="2" s="1"/>
  <c r="X87" i="2"/>
  <c r="D65" i="2"/>
  <c r="L20" i="9" s="1"/>
  <c r="F19" i="9"/>
  <c r="F130" i="2"/>
  <c r="G130" i="2"/>
  <c r="A181" i="2" s="1"/>
  <c r="M88" i="2"/>
  <c r="O88" i="2" s="1"/>
  <c r="U88" i="2" s="1"/>
  <c r="U64" i="2"/>
  <c r="A89" i="2"/>
  <c r="Q88" i="2"/>
  <c r="V88" i="2" s="1"/>
  <c r="P88" i="2"/>
  <c r="A131" i="2"/>
  <c r="B131" i="2" s="1"/>
  <c r="C131" i="2" s="1"/>
  <c r="D131" i="2" s="1"/>
  <c r="E131" i="2" s="1"/>
  <c r="F65" i="2" l="1"/>
  <c r="B89" i="2"/>
  <c r="A161" i="2"/>
  <c r="A66" i="2"/>
  <c r="B66" i="2" s="1"/>
  <c r="C66" i="2" s="1"/>
  <c r="R65" i="2"/>
  <c r="S65" i="2" s="1"/>
  <c r="F131" i="2"/>
  <c r="G131" i="2"/>
  <c r="A182" i="2" s="1"/>
  <c r="K89" i="2"/>
  <c r="J89" i="2"/>
  <c r="L89" i="2"/>
  <c r="M89" i="2" s="1"/>
  <c r="S88" i="2"/>
  <c r="W88" i="2" s="1"/>
  <c r="T88" i="2"/>
  <c r="A132" i="2"/>
  <c r="B132" i="2" s="1"/>
  <c r="C132" i="2" s="1"/>
  <c r="D132" i="2" s="1"/>
  <c r="E132" i="2" s="1"/>
  <c r="D88" i="2" l="1"/>
  <c r="E88" i="2" s="1"/>
  <c r="T65" i="2"/>
  <c r="U65" i="2" s="1"/>
  <c r="E66" i="2"/>
  <c r="Q66" i="2" s="1"/>
  <c r="D66" i="2"/>
  <c r="F20" i="9"/>
  <c r="F132" i="2"/>
  <c r="G132" i="2"/>
  <c r="A183" i="2" s="1"/>
  <c r="N89" i="2"/>
  <c r="Q89" i="2" s="1"/>
  <c r="V89" i="2" s="1"/>
  <c r="A133" i="2"/>
  <c r="B133" i="2" s="1"/>
  <c r="C133" i="2" s="1"/>
  <c r="D133" i="2" s="1"/>
  <c r="E133" i="2" s="1"/>
  <c r="A90" i="2" l="1"/>
  <c r="F88" i="2"/>
  <c r="G88" i="2"/>
  <c r="H88" i="2" s="1"/>
  <c r="X88" i="2"/>
  <c r="A162" i="2"/>
  <c r="D90" i="2"/>
  <c r="R66" i="2"/>
  <c r="L21" i="9"/>
  <c r="F66" i="2"/>
  <c r="B90" i="2"/>
  <c r="A67" i="2"/>
  <c r="D67" i="2" s="1"/>
  <c r="R67" i="2" s="1"/>
  <c r="E90" i="2"/>
  <c r="F133" i="2"/>
  <c r="G133" i="2"/>
  <c r="A184" i="2" s="1"/>
  <c r="K90" i="2"/>
  <c r="O89" i="2"/>
  <c r="U89" i="2" s="1"/>
  <c r="P89" i="2"/>
  <c r="S89" i="2" s="1"/>
  <c r="W89" i="2" s="1"/>
  <c r="L90" i="2"/>
  <c r="N90" i="2" s="1"/>
  <c r="S66" i="2"/>
  <c r="T66" i="2"/>
  <c r="U66" i="2" s="1"/>
  <c r="J90" i="2"/>
  <c r="A134" i="2"/>
  <c r="B134" i="2" s="1"/>
  <c r="C134" i="2" s="1"/>
  <c r="D134" i="2" s="1"/>
  <c r="E134" i="2" s="1"/>
  <c r="D89" i="2" l="1"/>
  <c r="E89" i="2" s="1"/>
  <c r="B67" i="2"/>
  <c r="C67" i="2"/>
  <c r="E67" i="2"/>
  <c r="A91" i="2" s="1"/>
  <c r="D91" i="2" s="1"/>
  <c r="G90" i="2"/>
  <c r="H90" i="2" s="1"/>
  <c r="F90" i="2"/>
  <c r="F134" i="2"/>
  <c r="G134" i="2"/>
  <c r="A185" i="2" s="1"/>
  <c r="T89" i="2"/>
  <c r="M90" i="2"/>
  <c r="O90" i="2" s="1"/>
  <c r="U90" i="2" s="1"/>
  <c r="Q67" i="2"/>
  <c r="P90" i="2"/>
  <c r="T90" i="2" s="1"/>
  <c r="Q90" i="2"/>
  <c r="V90" i="2" s="1"/>
  <c r="A68" i="2"/>
  <c r="D68" i="2" s="1"/>
  <c r="B91" i="2"/>
  <c r="A135" i="2"/>
  <c r="B135" i="2" s="1"/>
  <c r="C135" i="2" s="1"/>
  <c r="D135" i="2" s="1"/>
  <c r="E135" i="2" s="1"/>
  <c r="F89" i="2" l="1"/>
  <c r="G89" i="2"/>
  <c r="H89" i="2" s="1"/>
  <c r="X89" i="2"/>
  <c r="A163" i="2"/>
  <c r="F67" i="2"/>
  <c r="F21" i="9"/>
  <c r="S90" i="2"/>
  <c r="W90" i="2" s="1"/>
  <c r="X90" i="2" s="1"/>
  <c r="F135" i="2"/>
  <c r="G135" i="2"/>
  <c r="A186" i="2" s="1"/>
  <c r="E91" i="2"/>
  <c r="F91" i="2" s="1"/>
  <c r="J91" i="2"/>
  <c r="T91" i="2" s="1"/>
  <c r="K91" i="2"/>
  <c r="S67" i="2"/>
  <c r="T67" i="2"/>
  <c r="U67" i="2" s="1"/>
  <c r="L91" i="2"/>
  <c r="R68" i="2"/>
  <c r="B68" i="2"/>
  <c r="C68" i="2" s="1"/>
  <c r="E68" i="2"/>
  <c r="F68" i="2" s="1"/>
  <c r="A136" i="2"/>
  <c r="B136" i="2" s="1"/>
  <c r="C136" i="2" s="1"/>
  <c r="D136" i="2" s="1"/>
  <c r="E136" i="2" s="1"/>
  <c r="F136" i="2" l="1"/>
  <c r="G136" i="2"/>
  <c r="A187" i="2" s="1"/>
  <c r="H91" i="2"/>
  <c r="G91" i="2"/>
  <c r="V91" i="2"/>
  <c r="N91" i="2"/>
  <c r="M91" i="2"/>
  <c r="A92" i="2"/>
  <c r="Q68" i="2"/>
  <c r="A69" i="2"/>
  <c r="D69" i="2" s="1"/>
  <c r="B92" i="2"/>
  <c r="A137" i="2"/>
  <c r="B137" i="2" s="1"/>
  <c r="C137" i="2" s="1"/>
  <c r="D137" i="2" s="1"/>
  <c r="E137" i="2" s="1"/>
  <c r="A164" i="2" l="1"/>
  <c r="D92" i="2"/>
  <c r="E92" i="2"/>
  <c r="F137" i="2"/>
  <c r="G137" i="2"/>
  <c r="A188" i="2" s="1"/>
  <c r="L92" i="2"/>
  <c r="M92" i="2" s="1"/>
  <c r="K92" i="2"/>
  <c r="S92" i="2" s="1"/>
  <c r="W92" i="2" s="1"/>
  <c r="X92" i="2" s="1"/>
  <c r="J92" i="2"/>
  <c r="T92" i="2" s="1"/>
  <c r="P91" i="2"/>
  <c r="S91" i="2" s="1"/>
  <c r="W91" i="2" s="1"/>
  <c r="X91" i="2" s="1"/>
  <c r="Q91" i="2"/>
  <c r="O91" i="2"/>
  <c r="U91" i="2" s="1"/>
  <c r="T68" i="2"/>
  <c r="U68" i="2" s="1"/>
  <c r="S68" i="2"/>
  <c r="R69" i="2"/>
  <c r="B69" i="2"/>
  <c r="C69" i="2" s="1"/>
  <c r="E69" i="2"/>
  <c r="F69" i="2" s="1"/>
  <c r="A138" i="2"/>
  <c r="G92" i="2" l="1"/>
  <c r="F92" i="2"/>
  <c r="H92" i="2"/>
  <c r="N92" i="2"/>
  <c r="O92" i="2" s="1"/>
  <c r="U92" i="2" s="1"/>
  <c r="A93" i="2"/>
  <c r="Q69" i="2"/>
  <c r="B93" i="2"/>
  <c r="A70" i="2"/>
  <c r="D70" i="2" s="1"/>
  <c r="B138" i="2"/>
  <c r="C138" i="2" s="1"/>
  <c r="D138" i="2" s="1"/>
  <c r="E138" i="2" s="1"/>
  <c r="A165" i="2" l="1"/>
  <c r="D93" i="2"/>
  <c r="E93" i="2"/>
  <c r="F138" i="2"/>
  <c r="G138" i="2"/>
  <c r="A189" i="2" s="1"/>
  <c r="P92" i="2"/>
  <c r="Q92" i="2"/>
  <c r="V92" i="2" s="1"/>
  <c r="S69" i="2"/>
  <c r="T69" i="2"/>
  <c r="U69" i="2" s="1"/>
  <c r="J93" i="2"/>
  <c r="T93" i="2" s="1"/>
  <c r="L93" i="2"/>
  <c r="M93" i="2" s="1"/>
  <c r="K93" i="2"/>
  <c r="R70" i="2"/>
  <c r="B70" i="2"/>
  <c r="C70" i="2" s="1"/>
  <c r="E70" i="2"/>
  <c r="F70" i="2" s="1"/>
  <c r="A139" i="2"/>
  <c r="B139" i="2" s="1"/>
  <c r="C139" i="2" s="1"/>
  <c r="D139" i="2" s="1"/>
  <c r="E139" i="2" s="1"/>
  <c r="H93" i="2" l="1"/>
  <c r="F93" i="2"/>
  <c r="G93" i="2"/>
  <c r="F139" i="2"/>
  <c r="G139" i="2"/>
  <c r="A190" i="2" s="1"/>
  <c r="N93" i="2"/>
  <c r="O93" i="2" s="1"/>
  <c r="U93" i="2" s="1"/>
  <c r="A94" i="2"/>
  <c r="Q70" i="2"/>
  <c r="A71" i="2"/>
  <c r="D71" i="2" s="1"/>
  <c r="B94" i="2"/>
  <c r="A140" i="2"/>
  <c r="B140" i="2" s="1"/>
  <c r="C140" i="2" s="1"/>
  <c r="D140" i="2" s="1"/>
  <c r="E140" i="2" s="1"/>
  <c r="A166" i="2" l="1"/>
  <c r="D94" i="2"/>
  <c r="E94" i="2"/>
  <c r="F94" i="2" s="1"/>
  <c r="F140" i="2"/>
  <c r="G140" i="2"/>
  <c r="A191" i="2" s="1"/>
  <c r="J94" i="2"/>
  <c r="U94" i="2" s="1"/>
  <c r="L94" i="2"/>
  <c r="N94" i="2" s="1"/>
  <c r="K94" i="2"/>
  <c r="S94" i="2" s="1"/>
  <c r="W94" i="2" s="1"/>
  <c r="X94" i="2" s="1"/>
  <c r="S70" i="2"/>
  <c r="T70" i="2"/>
  <c r="U70" i="2" s="1"/>
  <c r="P93" i="2"/>
  <c r="S93" i="2" s="1"/>
  <c r="W93" i="2" s="1"/>
  <c r="X93" i="2" s="1"/>
  <c r="Q93" i="2"/>
  <c r="V93" i="2" s="1"/>
  <c r="R71" i="2"/>
  <c r="B71" i="2"/>
  <c r="E71" i="2"/>
  <c r="F71" i="2" s="1"/>
  <c r="C71" i="2"/>
  <c r="A141" i="2"/>
  <c r="B141" i="2" s="1"/>
  <c r="C141" i="2" s="1"/>
  <c r="D141" i="2" s="1"/>
  <c r="E141" i="2" s="1"/>
  <c r="G94" i="2" l="1"/>
  <c r="H94" i="2"/>
  <c r="F141" i="2"/>
  <c r="G141" i="2"/>
  <c r="A192" i="2" s="1"/>
  <c r="M94" i="2"/>
  <c r="A95" i="2"/>
  <c r="Q71" i="2"/>
  <c r="O94" i="2"/>
  <c r="Q94" i="2"/>
  <c r="V94" i="2" s="1"/>
  <c r="P94" i="2"/>
  <c r="T94" i="2" s="1"/>
  <c r="B95" i="2"/>
  <c r="A72" i="2"/>
  <c r="D72" i="2" s="1"/>
  <c r="A142" i="2"/>
  <c r="B142" i="2" s="1"/>
  <c r="C142" i="2" s="1"/>
  <c r="D142" i="2" s="1"/>
  <c r="E142" i="2" s="1"/>
  <c r="A167" i="2" l="1"/>
  <c r="D95" i="2"/>
  <c r="E95" i="2"/>
  <c r="F142" i="2"/>
  <c r="G142" i="2"/>
  <c r="A193" i="2" s="1"/>
  <c r="K95" i="2"/>
  <c r="S95" i="2" s="1"/>
  <c r="W95" i="2" s="1"/>
  <c r="X95" i="2" s="1"/>
  <c r="J95" i="2"/>
  <c r="T95" i="2" s="1"/>
  <c r="S71" i="2"/>
  <c r="T71" i="2"/>
  <c r="U71" i="2" s="1"/>
  <c r="L95" i="2"/>
  <c r="M95" i="2" s="1"/>
  <c r="C72" i="2"/>
  <c r="B72" i="2"/>
  <c r="E72" i="2"/>
  <c r="A143" i="2"/>
  <c r="B143" i="2" s="1"/>
  <c r="C143" i="2" s="1"/>
  <c r="D143" i="2" s="1"/>
  <c r="E143" i="2" s="1"/>
  <c r="G95" i="2" l="1"/>
  <c r="G96" i="2" s="1"/>
  <c r="F95" i="2"/>
  <c r="F96" i="2" s="1"/>
  <c r="E96" i="2"/>
  <c r="H95" i="2"/>
  <c r="H96" i="2" s="1"/>
  <c r="Q72" i="2"/>
  <c r="T72" i="2" s="1"/>
  <c r="U72" i="2" s="1"/>
  <c r="F72" i="2"/>
  <c r="F143" i="2"/>
  <c r="G143" i="2"/>
  <c r="A194" i="2" s="1"/>
  <c r="V95" i="2"/>
  <c r="U95" i="2"/>
  <c r="N95" i="2"/>
  <c r="P95" i="2" s="1"/>
  <c r="A73" i="2"/>
  <c r="D73" i="2" s="1"/>
  <c r="R72" i="2"/>
  <c r="A144" i="2"/>
  <c r="B144" i="2" s="1"/>
  <c r="C144" i="2" s="1"/>
  <c r="D144" i="2" s="1"/>
  <c r="E144" i="2" s="1"/>
  <c r="S72" i="2" l="1"/>
  <c r="F144" i="2"/>
  <c r="G144" i="2"/>
  <c r="A195" i="2" s="1"/>
  <c r="E73" i="2"/>
  <c r="B73" i="2"/>
  <c r="C73" i="2"/>
  <c r="R73" i="2"/>
  <c r="O95" i="2"/>
  <c r="Q95" i="2"/>
  <c r="A145" i="2"/>
  <c r="Q73" i="2" l="1"/>
  <c r="F73" i="2"/>
  <c r="B145" i="2"/>
  <c r="C145" i="2" s="1"/>
  <c r="D145" i="2" s="1"/>
  <c r="T73" i="2" l="1"/>
  <c r="U73" i="2" s="1"/>
  <c r="S73" i="2"/>
  <c r="A146" i="2"/>
  <c r="B146" i="2" s="1"/>
  <c r="C146" i="2" s="1"/>
  <c r="D146" i="2" s="1"/>
  <c r="E146" i="2" s="1"/>
  <c r="E145" i="2"/>
  <c r="F145" i="2" l="1"/>
  <c r="G145" i="2"/>
  <c r="A196" i="2" s="1"/>
  <c r="F146" i="2"/>
  <c r="G146" i="2"/>
  <c r="A197" i="2" s="1"/>
  <c r="B154" i="2" s="1"/>
  <c r="C154" i="2" s="1"/>
  <c r="E147" i="2"/>
  <c r="F147" i="2" s="1"/>
  <c r="B193" i="2" l="1"/>
  <c r="C193" i="2" s="1"/>
  <c r="B169" i="2"/>
  <c r="C169" i="2" s="1"/>
  <c r="B164" i="2"/>
  <c r="C164" i="2" s="1"/>
  <c r="B177" i="2"/>
  <c r="C177" i="2" s="1"/>
  <c r="B170" i="2"/>
  <c r="C170" i="2" s="1"/>
  <c r="B158" i="2"/>
  <c r="C158" i="2" s="1"/>
  <c r="B156" i="2"/>
  <c r="C156" i="2" s="1"/>
  <c r="B162" i="2"/>
  <c r="C162" i="2" s="1"/>
  <c r="B171" i="2"/>
  <c r="C171" i="2" s="1"/>
  <c r="B157" i="2"/>
  <c r="C157" i="2" s="1"/>
  <c r="B153" i="2"/>
  <c r="C153" i="2" s="1"/>
  <c r="B159" i="2"/>
  <c r="C159" i="2" s="1"/>
  <c r="B163" i="2"/>
  <c r="C163" i="2" s="1"/>
  <c r="B181" i="2"/>
  <c r="C181" i="2" s="1"/>
  <c r="B152" i="2"/>
  <c r="C152" i="2" s="1"/>
  <c r="B175" i="2"/>
  <c r="C175" i="2" s="1"/>
  <c r="B189" i="2"/>
  <c r="C189" i="2" s="1"/>
  <c r="B174" i="2"/>
  <c r="C174" i="2" s="1"/>
  <c r="B160" i="2"/>
  <c r="C160" i="2" s="1"/>
  <c r="B166" i="2"/>
  <c r="C166" i="2" s="1"/>
  <c r="B178" i="2"/>
  <c r="C178" i="2" s="1"/>
  <c r="B191" i="2"/>
  <c r="C191" i="2" s="1"/>
  <c r="B183" i="2"/>
  <c r="C183" i="2" s="1"/>
  <c r="B168" i="2"/>
  <c r="C168" i="2" s="1"/>
  <c r="B151" i="2"/>
  <c r="C151" i="2" s="1"/>
  <c r="B155" i="2"/>
  <c r="C155" i="2" s="1"/>
  <c r="B182" i="2"/>
  <c r="C182" i="2" s="1"/>
  <c r="B161" i="2"/>
  <c r="C161" i="2" s="1"/>
  <c r="B194" i="2"/>
  <c r="C194" i="2" s="1"/>
  <c r="B173" i="2"/>
  <c r="C173" i="2" s="1"/>
  <c r="B187" i="2"/>
  <c r="C187" i="2" s="1"/>
  <c r="B196" i="2"/>
  <c r="C196" i="2" s="1"/>
  <c r="B186" i="2"/>
  <c r="C186" i="2" s="1"/>
  <c r="B190" i="2"/>
  <c r="C190" i="2" s="1"/>
  <c r="B192" i="2"/>
  <c r="C192" i="2" s="1"/>
  <c r="B195" i="2"/>
  <c r="C195" i="2" s="1"/>
  <c r="B185" i="2"/>
  <c r="C185" i="2" s="1"/>
  <c r="B188" i="2"/>
  <c r="C188" i="2" s="1"/>
  <c r="B180" i="2"/>
  <c r="C180" i="2" s="1"/>
  <c r="B176" i="2"/>
  <c r="C176" i="2" s="1"/>
  <c r="B179" i="2"/>
  <c r="C179" i="2" s="1"/>
  <c r="B165" i="2"/>
  <c r="C165" i="2" s="1"/>
  <c r="B172" i="2"/>
  <c r="C172" i="2" s="1"/>
  <c r="B197" i="2"/>
  <c r="C197" i="2" s="1"/>
  <c r="B167" i="2"/>
  <c r="C167" i="2" s="1"/>
  <c r="B184" i="2"/>
  <c r="C184" i="2" s="1"/>
  <c r="D172" i="2" l="1"/>
  <c r="E172" i="2" s="1"/>
  <c r="D164" i="2"/>
  <c r="E164" i="2" s="1"/>
  <c r="D183" i="2"/>
  <c r="E183" i="2" s="1"/>
  <c r="D153" i="2"/>
  <c r="E153" i="2" s="1"/>
  <c r="D168" i="2"/>
  <c r="E168" i="2" s="1"/>
  <c r="D177" i="2"/>
  <c r="E177" i="2" s="1"/>
  <c r="D191" i="2"/>
  <c r="E191" i="2" s="1"/>
  <c r="D192" i="2"/>
  <c r="E192" i="2" s="1"/>
  <c r="D186" i="2"/>
  <c r="E186" i="2" s="1"/>
  <c r="D160" i="2"/>
  <c r="E160" i="2" s="1"/>
  <c r="D178" i="2"/>
  <c r="E178" i="2" s="1"/>
  <c r="D193" i="2"/>
  <c r="E193" i="2" s="1"/>
  <c r="D157" i="2"/>
  <c r="E157" i="2" s="1"/>
  <c r="D169" i="2"/>
  <c r="E169" i="2" s="1"/>
  <c r="D167" i="2"/>
  <c r="E167" i="2" s="1"/>
  <c r="D194" i="2"/>
  <c r="E194" i="2" s="1"/>
  <c r="D165" i="2"/>
  <c r="E165" i="2" s="1"/>
  <c r="D151" i="2"/>
  <c r="E151" i="2" s="1"/>
  <c r="D184" i="2"/>
  <c r="E184" i="2" s="1"/>
  <c r="D174" i="2"/>
  <c r="E174" i="2" s="1"/>
  <c r="D188" i="2"/>
  <c r="E188" i="2" s="1"/>
  <c r="D189" i="2"/>
  <c r="E189" i="2" s="1"/>
  <c r="D159" i="2"/>
  <c r="E159" i="2" s="1"/>
  <c r="D170" i="2"/>
  <c r="E170" i="2" s="1"/>
  <c r="D173" i="2"/>
  <c r="E173" i="2" s="1"/>
  <c r="D195" i="2"/>
  <c r="E195" i="2" s="1"/>
  <c r="D166" i="2"/>
  <c r="E166" i="2" s="1"/>
  <c r="D185" i="2"/>
  <c r="E185" i="2" s="1"/>
  <c r="D196" i="2"/>
  <c r="E196" i="2" s="1"/>
  <c r="D176" i="2"/>
  <c r="E176" i="2" s="1"/>
  <c r="D161" i="2"/>
  <c r="E161" i="2" s="1"/>
  <c r="D163" i="2"/>
  <c r="E163" i="2" s="1"/>
  <c r="D171" i="2"/>
  <c r="E171" i="2" s="1"/>
  <c r="D162" i="2"/>
  <c r="E162" i="2" s="1"/>
  <c r="D158" i="2"/>
  <c r="E158" i="2" s="1"/>
  <c r="D156" i="2"/>
  <c r="E156" i="2" s="1"/>
  <c r="D175" i="2"/>
  <c r="E175" i="2" s="1"/>
  <c r="D187" i="2"/>
  <c r="E187" i="2" s="1"/>
  <c r="D197" i="2"/>
  <c r="E197" i="2" s="1"/>
  <c r="D179" i="2"/>
  <c r="E179" i="2" s="1"/>
  <c r="D182" i="2"/>
  <c r="E182" i="2" s="1"/>
  <c r="D181" i="2"/>
  <c r="E181" i="2" s="1"/>
  <c r="D190" i="2"/>
  <c r="E190" i="2" s="1"/>
  <c r="D154" i="2"/>
  <c r="E154" i="2" s="1"/>
  <c r="D155" i="2"/>
  <c r="E155" i="2" s="1"/>
  <c r="D180" i="2"/>
  <c r="E180" i="2" s="1"/>
  <c r="D152" i="2"/>
  <c r="E152" i="2" s="1"/>
  <c r="B203" i="2"/>
  <c r="D203" i="2" s="1"/>
  <c r="F77" i="19" l="1"/>
  <c r="K203" i="2"/>
  <c r="J203" i="2"/>
  <c r="H203" i="2"/>
  <c r="I203" i="2"/>
  <c r="F77" i="14"/>
  <c r="F77" i="15"/>
  <c r="Y203" i="2" a="1"/>
  <c r="Y203" i="2" s="1"/>
  <c r="B204" i="2"/>
  <c r="C204" i="2" s="1"/>
  <c r="F77" i="1"/>
  <c r="P203" i="2"/>
  <c r="R203" i="2"/>
  <c r="O203" i="2"/>
  <c r="E203" i="2"/>
  <c r="M203" i="2"/>
  <c r="L203" i="2"/>
  <c r="N77" i="19" s="1"/>
  <c r="C203" i="2"/>
  <c r="N203" i="2"/>
  <c r="F151" i="2"/>
  <c r="F154" i="2"/>
  <c r="G154" i="2" s="1"/>
  <c r="F153" i="2"/>
  <c r="G153" i="2" s="1"/>
  <c r="F155" i="2"/>
  <c r="G155" i="2" s="1"/>
  <c r="F156" i="2"/>
  <c r="G156" i="2" s="1"/>
  <c r="F160" i="2"/>
  <c r="G160" i="2" s="1"/>
  <c r="F163" i="2"/>
  <c r="G163" i="2" s="1"/>
  <c r="F152" i="2"/>
  <c r="G152" i="2" s="1"/>
  <c r="F159" i="2"/>
  <c r="G159" i="2" s="1"/>
  <c r="F168" i="2"/>
  <c r="G168" i="2" s="1"/>
  <c r="F172" i="2"/>
  <c r="G172" i="2" s="1"/>
  <c r="F165" i="2"/>
  <c r="G165" i="2" s="1"/>
  <c r="F171" i="2"/>
  <c r="G171" i="2" s="1"/>
  <c r="F173" i="2"/>
  <c r="G173" i="2" s="1"/>
  <c r="F176" i="2"/>
  <c r="G176" i="2" s="1"/>
  <c r="F157" i="2"/>
  <c r="G157" i="2" s="1"/>
  <c r="F161" i="2"/>
  <c r="G161" i="2" s="1"/>
  <c r="F162" i="2"/>
  <c r="G162" i="2" s="1"/>
  <c r="F164" i="2"/>
  <c r="G164" i="2" s="1"/>
  <c r="F167" i="2"/>
  <c r="G167" i="2" s="1"/>
  <c r="F175" i="2"/>
  <c r="G175" i="2" s="1"/>
  <c r="F177" i="2"/>
  <c r="G177" i="2" s="1"/>
  <c r="F182" i="2"/>
  <c r="G182" i="2" s="1"/>
  <c r="F186" i="2"/>
  <c r="G186" i="2" s="1"/>
  <c r="F190" i="2"/>
  <c r="G190" i="2" s="1"/>
  <c r="F194" i="2"/>
  <c r="G194" i="2" s="1"/>
  <c r="F174" i="2"/>
  <c r="G174" i="2" s="1"/>
  <c r="F181" i="2"/>
  <c r="G181" i="2" s="1"/>
  <c r="F183" i="2"/>
  <c r="G183" i="2" s="1"/>
  <c r="F189" i="2"/>
  <c r="G189" i="2" s="1"/>
  <c r="F191" i="2"/>
  <c r="G191" i="2" s="1"/>
  <c r="F197" i="2"/>
  <c r="G197" i="2" s="1"/>
  <c r="F178" i="2"/>
  <c r="G178" i="2" s="1"/>
  <c r="F166" i="2"/>
  <c r="G166" i="2" s="1"/>
  <c r="F179" i="2"/>
  <c r="G179" i="2" s="1"/>
  <c r="F185" i="2"/>
  <c r="G185" i="2" s="1"/>
  <c r="F196" i="2"/>
  <c r="G196" i="2" s="1"/>
  <c r="F188" i="2"/>
  <c r="G188" i="2" s="1"/>
  <c r="F158" i="2"/>
  <c r="G158" i="2" s="1"/>
  <c r="F169" i="2"/>
  <c r="G169" i="2" s="1"/>
  <c r="F170" i="2"/>
  <c r="G170" i="2" s="1"/>
  <c r="F180" i="2"/>
  <c r="G180" i="2" s="1"/>
  <c r="F192" i="2"/>
  <c r="G192" i="2" s="1"/>
  <c r="F195" i="2"/>
  <c r="G195" i="2" s="1"/>
  <c r="F184" i="2"/>
  <c r="G184" i="2" s="1"/>
  <c r="F187" i="2"/>
  <c r="G187" i="2" s="1"/>
  <c r="F193" i="2"/>
  <c r="G193" i="2" s="1"/>
  <c r="J77" i="1" l="1"/>
  <c r="J77" i="14"/>
  <c r="M77" i="19"/>
  <c r="M77" i="1"/>
  <c r="L77" i="19"/>
  <c r="L77" i="1"/>
  <c r="K77" i="19"/>
  <c r="K77" i="1"/>
  <c r="J77" i="19"/>
  <c r="O77" i="19"/>
  <c r="O77" i="1"/>
  <c r="M77" i="15"/>
  <c r="M77" i="14"/>
  <c r="L77" i="15"/>
  <c r="L77" i="14"/>
  <c r="K77" i="14"/>
  <c r="K77" i="15"/>
  <c r="N77" i="15"/>
  <c r="N77" i="14"/>
  <c r="J77" i="15"/>
  <c r="O77" i="15"/>
  <c r="O77" i="14"/>
  <c r="D204" i="2"/>
  <c r="N77" i="1"/>
  <c r="U203" i="2"/>
  <c r="G77" i="19" s="1"/>
  <c r="B205" i="2"/>
  <c r="G151" i="2"/>
  <c r="F78" i="19" l="1"/>
  <c r="K204" i="2"/>
  <c r="H204" i="2"/>
  <c r="J78" i="1" s="1"/>
  <c r="I204" i="2"/>
  <c r="K78" i="1" s="1"/>
  <c r="J204" i="2"/>
  <c r="O204" i="2"/>
  <c r="N204" i="2"/>
  <c r="R204" i="2"/>
  <c r="M204" i="2"/>
  <c r="G204" i="2"/>
  <c r="F78" i="1"/>
  <c r="L204" i="2"/>
  <c r="N78" i="19" s="1"/>
  <c r="E204" i="2"/>
  <c r="F204" i="2"/>
  <c r="P204" i="2"/>
  <c r="G77" i="14"/>
  <c r="G77" i="15"/>
  <c r="F78" i="15"/>
  <c r="F78" i="14"/>
  <c r="Y204" i="2" a="1"/>
  <c r="Y204" i="2" s="1"/>
  <c r="G77" i="1"/>
  <c r="H151" i="2"/>
  <c r="H152" i="2"/>
  <c r="I152" i="2" s="1"/>
  <c r="H155" i="2"/>
  <c r="I155" i="2" s="1"/>
  <c r="H156" i="2"/>
  <c r="I156" i="2" s="1"/>
  <c r="H157" i="2"/>
  <c r="I157" i="2" s="1"/>
  <c r="H158" i="2"/>
  <c r="I158" i="2" s="1"/>
  <c r="H162" i="2"/>
  <c r="I162" i="2" s="1"/>
  <c r="H154" i="2"/>
  <c r="I154" i="2" s="1"/>
  <c r="H159" i="2"/>
  <c r="I159" i="2" s="1"/>
  <c r="H153" i="2"/>
  <c r="I153" i="2" s="1"/>
  <c r="H161" i="2"/>
  <c r="I161" i="2" s="1"/>
  <c r="H164" i="2"/>
  <c r="I164" i="2" s="1"/>
  <c r="H166" i="2"/>
  <c r="I166" i="2" s="1"/>
  <c r="H170" i="2"/>
  <c r="I170" i="2" s="1"/>
  <c r="H174" i="2"/>
  <c r="I174" i="2" s="1"/>
  <c r="H163" i="2"/>
  <c r="I163" i="2" s="1"/>
  <c r="H167" i="2"/>
  <c r="I167" i="2" s="1"/>
  <c r="H172" i="2"/>
  <c r="I172" i="2" s="1"/>
  <c r="H178" i="2"/>
  <c r="I178" i="2" s="1"/>
  <c r="H160" i="2"/>
  <c r="I160" i="2" s="1"/>
  <c r="H169" i="2"/>
  <c r="I169" i="2" s="1"/>
  <c r="H176" i="2"/>
  <c r="I176" i="2" s="1"/>
  <c r="H180" i="2"/>
  <c r="I180" i="2" s="1"/>
  <c r="H184" i="2"/>
  <c r="I184" i="2" s="1"/>
  <c r="H188" i="2"/>
  <c r="I188" i="2" s="1"/>
  <c r="H192" i="2"/>
  <c r="I192" i="2" s="1"/>
  <c r="H196" i="2"/>
  <c r="I196" i="2" s="1"/>
  <c r="H182" i="2"/>
  <c r="I182" i="2" s="1"/>
  <c r="H185" i="2"/>
  <c r="I185" i="2" s="1"/>
  <c r="H190" i="2"/>
  <c r="I190" i="2" s="1"/>
  <c r="H193" i="2"/>
  <c r="I193" i="2" s="1"/>
  <c r="H171" i="2"/>
  <c r="I171" i="2" s="1"/>
  <c r="H177" i="2"/>
  <c r="I177" i="2" s="1"/>
  <c r="H165" i="2"/>
  <c r="I165" i="2" s="1"/>
  <c r="H173" i="2"/>
  <c r="I173" i="2" s="1"/>
  <c r="H181" i="2"/>
  <c r="I181" i="2" s="1"/>
  <c r="H187" i="2"/>
  <c r="I187" i="2" s="1"/>
  <c r="H179" i="2"/>
  <c r="I179" i="2" s="1"/>
  <c r="H191" i="2"/>
  <c r="I191" i="2" s="1"/>
  <c r="H194" i="2"/>
  <c r="I194" i="2" s="1"/>
  <c r="H197" i="2"/>
  <c r="I197" i="2" s="1"/>
  <c r="H168" i="2"/>
  <c r="I168" i="2" s="1"/>
  <c r="H175" i="2"/>
  <c r="I175" i="2" s="1"/>
  <c r="H183" i="2"/>
  <c r="I183" i="2" s="1"/>
  <c r="H186" i="2"/>
  <c r="I186" i="2" s="1"/>
  <c r="H189" i="2"/>
  <c r="I189" i="2" s="1"/>
  <c r="H195" i="2"/>
  <c r="I195" i="2" s="1"/>
  <c r="C205" i="2"/>
  <c r="D205" i="2"/>
  <c r="F79" i="19" l="1"/>
  <c r="H205" i="2"/>
  <c r="J79" i="1" s="1"/>
  <c r="K205" i="2"/>
  <c r="J205" i="2"/>
  <c r="I205" i="2"/>
  <c r="K79" i="1" s="1"/>
  <c r="U204" i="2"/>
  <c r="G78" i="19" s="1"/>
  <c r="O78" i="19"/>
  <c r="O78" i="1"/>
  <c r="J78" i="19"/>
  <c r="L78" i="19"/>
  <c r="L78" i="1"/>
  <c r="M78" i="19"/>
  <c r="M78" i="1"/>
  <c r="K78" i="19"/>
  <c r="M78" i="14"/>
  <c r="M78" i="15"/>
  <c r="J78" i="14"/>
  <c r="V204" i="2"/>
  <c r="J78" i="15"/>
  <c r="O78" i="14"/>
  <c r="W204" i="2"/>
  <c r="O78" i="15"/>
  <c r="L78" i="14"/>
  <c r="L78" i="15"/>
  <c r="T204" i="2"/>
  <c r="AA204" i="2" s="1" a="1"/>
  <c r="AA204" i="2" s="1"/>
  <c r="Q204" i="2"/>
  <c r="Z204" i="2" s="1" a="1"/>
  <c r="Z204" i="2" s="1"/>
  <c r="N78" i="15"/>
  <c r="N78" i="1"/>
  <c r="N78" i="14"/>
  <c r="K78" i="15"/>
  <c r="K78" i="14"/>
  <c r="Y205" i="2" a="1"/>
  <c r="Y205" i="2" s="1"/>
  <c r="F79" i="15"/>
  <c r="F79" i="14"/>
  <c r="F79" i="1"/>
  <c r="N205" i="2"/>
  <c r="O205" i="2"/>
  <c r="P205" i="2"/>
  <c r="B206" i="2"/>
  <c r="I151" i="2"/>
  <c r="R205" i="2"/>
  <c r="L205" i="2"/>
  <c r="N79" i="19" s="1"/>
  <c r="E205" i="2"/>
  <c r="F205" i="2"/>
  <c r="G205" i="2"/>
  <c r="M205" i="2"/>
  <c r="G78" i="15" l="1"/>
  <c r="G78" i="14"/>
  <c r="G78" i="1"/>
  <c r="O79" i="19"/>
  <c r="O79" i="1"/>
  <c r="I78" i="19"/>
  <c r="I78" i="1"/>
  <c r="L79" i="19"/>
  <c r="L79" i="1"/>
  <c r="J79" i="19"/>
  <c r="M79" i="19"/>
  <c r="M79" i="1"/>
  <c r="H78" i="19"/>
  <c r="H78" i="1"/>
  <c r="K79" i="19"/>
  <c r="H78" i="15"/>
  <c r="H78" i="14"/>
  <c r="I78" i="15"/>
  <c r="I78" i="14"/>
  <c r="X204" i="2"/>
  <c r="S204" i="2"/>
  <c r="J79" i="14"/>
  <c r="J79" i="15"/>
  <c r="K79" i="14"/>
  <c r="K79" i="15"/>
  <c r="M79" i="14"/>
  <c r="M79" i="15"/>
  <c r="O79" i="14"/>
  <c r="O79" i="15"/>
  <c r="L79" i="14"/>
  <c r="L79" i="15"/>
  <c r="N79" i="14"/>
  <c r="N79" i="15"/>
  <c r="N79" i="1"/>
  <c r="V205" i="2"/>
  <c r="W205" i="2"/>
  <c r="U205" i="2"/>
  <c r="G79" i="19" s="1"/>
  <c r="T205" i="2"/>
  <c r="J151" i="2"/>
  <c r="J154" i="2"/>
  <c r="K154" i="2" s="1"/>
  <c r="J152" i="2"/>
  <c r="K152" i="2" s="1"/>
  <c r="J153" i="2"/>
  <c r="K153" i="2" s="1"/>
  <c r="J155" i="2"/>
  <c r="K155" i="2" s="1"/>
  <c r="J160" i="2"/>
  <c r="K160" i="2" s="1"/>
  <c r="J157" i="2"/>
  <c r="K157" i="2" s="1"/>
  <c r="J158" i="2"/>
  <c r="K158" i="2" s="1"/>
  <c r="J163" i="2"/>
  <c r="K163" i="2" s="1"/>
  <c r="J168" i="2"/>
  <c r="K168" i="2" s="1"/>
  <c r="J172" i="2"/>
  <c r="K172" i="2" s="1"/>
  <c r="J156" i="2"/>
  <c r="K156" i="2" s="1"/>
  <c r="J159" i="2"/>
  <c r="K159" i="2" s="1"/>
  <c r="J166" i="2"/>
  <c r="K166" i="2" s="1"/>
  <c r="J174" i="2"/>
  <c r="K174" i="2" s="1"/>
  <c r="J176" i="2"/>
  <c r="K176" i="2" s="1"/>
  <c r="J171" i="2"/>
  <c r="K171" i="2" s="1"/>
  <c r="J173" i="2"/>
  <c r="K173" i="2" s="1"/>
  <c r="J178" i="2"/>
  <c r="K178" i="2" s="1"/>
  <c r="J182" i="2"/>
  <c r="K182" i="2" s="1"/>
  <c r="J186" i="2"/>
  <c r="K186" i="2" s="1"/>
  <c r="J190" i="2"/>
  <c r="K190" i="2" s="1"/>
  <c r="J194" i="2"/>
  <c r="K194" i="2" s="1"/>
  <c r="J162" i="2"/>
  <c r="K162" i="2" s="1"/>
  <c r="J167" i="2"/>
  <c r="K167" i="2" s="1"/>
  <c r="J184" i="2"/>
  <c r="K184" i="2" s="1"/>
  <c r="J192" i="2"/>
  <c r="K192" i="2" s="1"/>
  <c r="J164" i="2"/>
  <c r="K164" i="2" s="1"/>
  <c r="J170" i="2"/>
  <c r="K170" i="2" s="1"/>
  <c r="J161" i="2"/>
  <c r="K161" i="2" s="1"/>
  <c r="J175" i="2"/>
  <c r="K175" i="2" s="1"/>
  <c r="J177" i="2"/>
  <c r="K177" i="2" s="1"/>
  <c r="J180" i="2"/>
  <c r="K180" i="2" s="1"/>
  <c r="J189" i="2"/>
  <c r="K189" i="2" s="1"/>
  <c r="J191" i="2"/>
  <c r="K191" i="2" s="1"/>
  <c r="J195" i="2"/>
  <c r="K195" i="2" s="1"/>
  <c r="J165" i="2"/>
  <c r="K165" i="2" s="1"/>
  <c r="J181" i="2"/>
  <c r="K181" i="2" s="1"/>
  <c r="J183" i="2"/>
  <c r="K183" i="2" s="1"/>
  <c r="J187" i="2"/>
  <c r="K187" i="2" s="1"/>
  <c r="J193" i="2"/>
  <c r="K193" i="2" s="1"/>
  <c r="J179" i="2"/>
  <c r="K179" i="2" s="1"/>
  <c r="J185" i="2"/>
  <c r="K185" i="2" s="1"/>
  <c r="J196" i="2"/>
  <c r="K196" i="2" s="1"/>
  <c r="J169" i="2"/>
  <c r="K169" i="2" s="1"/>
  <c r="J188" i="2"/>
  <c r="K188" i="2" s="1"/>
  <c r="J197" i="2"/>
  <c r="K197" i="2" s="1"/>
  <c r="Q205" i="2"/>
  <c r="Z205" i="2" s="1" a="1"/>
  <c r="Z205" i="2" s="1"/>
  <c r="D206" i="2"/>
  <c r="C206" i="2"/>
  <c r="F80" i="19" l="1"/>
  <c r="H206" i="2"/>
  <c r="J80" i="1" s="1"/>
  <c r="K206" i="2"/>
  <c r="I206" i="2"/>
  <c r="K80" i="1" s="1"/>
  <c r="J206" i="2"/>
  <c r="I79" i="19"/>
  <c r="I79" i="1"/>
  <c r="H79" i="19"/>
  <c r="H79" i="1"/>
  <c r="F80" i="15"/>
  <c r="F80" i="14"/>
  <c r="H79" i="15"/>
  <c r="H79" i="14"/>
  <c r="G79" i="15"/>
  <c r="G79" i="14"/>
  <c r="I79" i="15"/>
  <c r="I79" i="14"/>
  <c r="Y206" i="2" a="1"/>
  <c r="Y206" i="2" s="1"/>
  <c r="X205" i="2"/>
  <c r="AA205" i="2" a="1"/>
  <c r="AA205" i="2" s="1"/>
  <c r="G79" i="1"/>
  <c r="F80" i="1"/>
  <c r="P206" i="2"/>
  <c r="O206" i="2"/>
  <c r="N206" i="2"/>
  <c r="S205" i="2"/>
  <c r="L206" i="2"/>
  <c r="N80" i="19" s="1"/>
  <c r="E206" i="2"/>
  <c r="M206" i="2"/>
  <c r="R206" i="2"/>
  <c r="F206" i="2"/>
  <c r="G206" i="2"/>
  <c r="B207" i="2"/>
  <c r="K151" i="2"/>
  <c r="M80" i="19" l="1"/>
  <c r="M80" i="1"/>
  <c r="O80" i="19"/>
  <c r="O80" i="1"/>
  <c r="L80" i="19"/>
  <c r="L80" i="1"/>
  <c r="J80" i="19"/>
  <c r="K80" i="19"/>
  <c r="K80" i="15"/>
  <c r="K80" i="14"/>
  <c r="J80" i="15"/>
  <c r="J80" i="14"/>
  <c r="O80" i="14"/>
  <c r="O80" i="15"/>
  <c r="N80" i="14"/>
  <c r="N80" i="15"/>
  <c r="M80" i="14"/>
  <c r="M80" i="15"/>
  <c r="L80" i="14"/>
  <c r="L80" i="15"/>
  <c r="N80" i="1"/>
  <c r="W206" i="2"/>
  <c r="V206" i="2"/>
  <c r="U206" i="2"/>
  <c r="G80" i="19" s="1"/>
  <c r="T206" i="2"/>
  <c r="L151" i="2"/>
  <c r="L152" i="2"/>
  <c r="M152" i="2" s="1"/>
  <c r="L153" i="2"/>
  <c r="M153" i="2" s="1"/>
  <c r="L156" i="2"/>
  <c r="M156" i="2" s="1"/>
  <c r="L158" i="2"/>
  <c r="M158" i="2" s="1"/>
  <c r="L162" i="2"/>
  <c r="M162" i="2" s="1"/>
  <c r="L155" i="2"/>
  <c r="M155" i="2" s="1"/>
  <c r="L157" i="2"/>
  <c r="M157" i="2" s="1"/>
  <c r="L159" i="2"/>
  <c r="M159" i="2" s="1"/>
  <c r="L166" i="2"/>
  <c r="M166" i="2" s="1"/>
  <c r="L170" i="2"/>
  <c r="M170" i="2" s="1"/>
  <c r="L174" i="2"/>
  <c r="M174" i="2" s="1"/>
  <c r="L154" i="2"/>
  <c r="M154" i="2" s="1"/>
  <c r="L161" i="2"/>
  <c r="M161" i="2" s="1"/>
  <c r="L164" i="2"/>
  <c r="M164" i="2" s="1"/>
  <c r="L165" i="2"/>
  <c r="M165" i="2" s="1"/>
  <c r="L173" i="2"/>
  <c r="M173" i="2" s="1"/>
  <c r="L178" i="2"/>
  <c r="M178" i="2" s="1"/>
  <c r="L167" i="2"/>
  <c r="M167" i="2" s="1"/>
  <c r="L172" i="2"/>
  <c r="M172" i="2" s="1"/>
  <c r="L177" i="2"/>
  <c r="M177" i="2" s="1"/>
  <c r="L180" i="2"/>
  <c r="M180" i="2" s="1"/>
  <c r="L184" i="2"/>
  <c r="M184" i="2" s="1"/>
  <c r="L188" i="2"/>
  <c r="M188" i="2" s="1"/>
  <c r="L192" i="2"/>
  <c r="M192" i="2" s="1"/>
  <c r="L196" i="2"/>
  <c r="M196" i="2" s="1"/>
  <c r="L169" i="2"/>
  <c r="M169" i="2" s="1"/>
  <c r="L175" i="2"/>
  <c r="M175" i="2" s="1"/>
  <c r="L183" i="2"/>
  <c r="M183" i="2" s="1"/>
  <c r="L191" i="2"/>
  <c r="M191" i="2" s="1"/>
  <c r="L163" i="2"/>
  <c r="M163" i="2" s="1"/>
  <c r="L160" i="2"/>
  <c r="M160" i="2" s="1"/>
  <c r="L168" i="2"/>
  <c r="M168" i="2" s="1"/>
  <c r="L176" i="2"/>
  <c r="M176" i="2" s="1"/>
  <c r="L185" i="2"/>
  <c r="M185" i="2" s="1"/>
  <c r="L190" i="2"/>
  <c r="M190" i="2" s="1"/>
  <c r="L194" i="2"/>
  <c r="M194" i="2" s="1"/>
  <c r="L197" i="2"/>
  <c r="M197" i="2" s="1"/>
  <c r="L171" i="2"/>
  <c r="M171" i="2" s="1"/>
  <c r="L182" i="2"/>
  <c r="M182" i="2" s="1"/>
  <c r="L186" i="2"/>
  <c r="M186" i="2" s="1"/>
  <c r="L189" i="2"/>
  <c r="M189" i="2" s="1"/>
  <c r="L195" i="2"/>
  <c r="M195" i="2" s="1"/>
  <c r="L181" i="2"/>
  <c r="M181" i="2" s="1"/>
  <c r="L187" i="2"/>
  <c r="M187" i="2" s="1"/>
  <c r="L179" i="2"/>
  <c r="M179" i="2" s="1"/>
  <c r="L193" i="2"/>
  <c r="M193" i="2" s="1"/>
  <c r="Q206" i="2"/>
  <c r="Z206" i="2" s="1" a="1"/>
  <c r="Z206" i="2" s="1"/>
  <c r="D207" i="2"/>
  <c r="C207" i="2"/>
  <c r="F81" i="19" l="1"/>
  <c r="H207" i="2"/>
  <c r="J81" i="1" s="1"/>
  <c r="K207" i="2"/>
  <c r="I207" i="2"/>
  <c r="K81" i="1" s="1"/>
  <c r="J207" i="2"/>
  <c r="H80" i="19"/>
  <c r="H80" i="1"/>
  <c r="I80" i="19"/>
  <c r="I80" i="1"/>
  <c r="G80" i="15"/>
  <c r="G80" i="14"/>
  <c r="H80" i="15"/>
  <c r="H80" i="14"/>
  <c r="I80" i="15"/>
  <c r="I80" i="14"/>
  <c r="F81" i="14"/>
  <c r="F81" i="15"/>
  <c r="Y207" i="2" a="1"/>
  <c r="Y207" i="2" s="1"/>
  <c r="AA206" i="2" a="1"/>
  <c r="AA206" i="2" s="1"/>
  <c r="X206" i="2"/>
  <c r="G80" i="1"/>
  <c r="F81" i="1"/>
  <c r="N207" i="2"/>
  <c r="P207" i="2"/>
  <c r="O207" i="2"/>
  <c r="S206" i="2"/>
  <c r="M151" i="2"/>
  <c r="B208" i="2"/>
  <c r="R207" i="2"/>
  <c r="M207" i="2"/>
  <c r="F207" i="2"/>
  <c r="G207" i="2"/>
  <c r="L207" i="2"/>
  <c r="N81" i="19" s="1"/>
  <c r="E207" i="2"/>
  <c r="J81" i="19" l="1"/>
  <c r="M81" i="19"/>
  <c r="M81" i="1"/>
  <c r="O81" i="19"/>
  <c r="O81" i="1"/>
  <c r="L81" i="19"/>
  <c r="L81" i="1"/>
  <c r="K81" i="19"/>
  <c r="M81" i="15"/>
  <c r="M81" i="14"/>
  <c r="O81" i="14"/>
  <c r="O81" i="15"/>
  <c r="N81" i="15"/>
  <c r="N81" i="14"/>
  <c r="K81" i="15"/>
  <c r="K81" i="14"/>
  <c r="L81" i="15"/>
  <c r="L81" i="14"/>
  <c r="J81" i="15"/>
  <c r="J81" i="14"/>
  <c r="N81" i="1"/>
  <c r="V207" i="2"/>
  <c r="W207" i="2"/>
  <c r="U207" i="2"/>
  <c r="G81" i="19" s="1"/>
  <c r="T207" i="2"/>
  <c r="N151" i="2"/>
  <c r="N154" i="2"/>
  <c r="O154" i="2" s="1"/>
  <c r="N152" i="2"/>
  <c r="O152" i="2" s="1"/>
  <c r="N153" i="2"/>
  <c r="O153" i="2" s="1"/>
  <c r="N155" i="2"/>
  <c r="O155" i="2" s="1"/>
  <c r="N156" i="2"/>
  <c r="O156" i="2" s="1"/>
  <c r="N157" i="2"/>
  <c r="O157" i="2" s="1"/>
  <c r="N160" i="2"/>
  <c r="O160" i="2" s="1"/>
  <c r="N159" i="2"/>
  <c r="O159" i="2" s="1"/>
  <c r="N161" i="2"/>
  <c r="O161" i="2" s="1"/>
  <c r="N163" i="2"/>
  <c r="O163" i="2" s="1"/>
  <c r="N158" i="2"/>
  <c r="O158" i="2" s="1"/>
  <c r="N168" i="2"/>
  <c r="O168" i="2" s="1"/>
  <c r="N172" i="2"/>
  <c r="O172" i="2" s="1"/>
  <c r="N167" i="2"/>
  <c r="O167" i="2" s="1"/>
  <c r="N169" i="2"/>
  <c r="O169" i="2" s="1"/>
  <c r="N176" i="2"/>
  <c r="O176" i="2" s="1"/>
  <c r="N166" i="2"/>
  <c r="O166" i="2" s="1"/>
  <c r="N182" i="2"/>
  <c r="O182" i="2" s="1"/>
  <c r="N186" i="2"/>
  <c r="O186" i="2" s="1"/>
  <c r="N190" i="2"/>
  <c r="O190" i="2" s="1"/>
  <c r="N194" i="2"/>
  <c r="O194" i="2" s="1"/>
  <c r="N174" i="2"/>
  <c r="O174" i="2" s="1"/>
  <c r="N179" i="2"/>
  <c r="O179" i="2" s="1"/>
  <c r="N185" i="2"/>
  <c r="O185" i="2" s="1"/>
  <c r="N187" i="2"/>
  <c r="O187" i="2" s="1"/>
  <c r="N193" i="2"/>
  <c r="O193" i="2" s="1"/>
  <c r="N195" i="2"/>
  <c r="O195" i="2" s="1"/>
  <c r="N162" i="2"/>
  <c r="O162" i="2" s="1"/>
  <c r="N165" i="2"/>
  <c r="O165" i="2" s="1"/>
  <c r="N175" i="2"/>
  <c r="O175" i="2" s="1"/>
  <c r="N177" i="2"/>
  <c r="O177" i="2" s="1"/>
  <c r="N184" i="2"/>
  <c r="O184" i="2" s="1"/>
  <c r="N196" i="2"/>
  <c r="O196" i="2" s="1"/>
  <c r="N173" i="2"/>
  <c r="O173" i="2" s="1"/>
  <c r="N178" i="2"/>
  <c r="O178" i="2" s="1"/>
  <c r="N188" i="2"/>
  <c r="O188" i="2" s="1"/>
  <c r="N197" i="2"/>
  <c r="O197" i="2" s="1"/>
  <c r="N164" i="2"/>
  <c r="O164" i="2" s="1"/>
  <c r="N171" i="2"/>
  <c r="O171" i="2" s="1"/>
  <c r="N180" i="2"/>
  <c r="O180" i="2" s="1"/>
  <c r="N189" i="2"/>
  <c r="O189" i="2" s="1"/>
  <c r="N191" i="2"/>
  <c r="O191" i="2" s="1"/>
  <c r="N170" i="2"/>
  <c r="O170" i="2" s="1"/>
  <c r="N181" i="2"/>
  <c r="O181" i="2" s="1"/>
  <c r="N183" i="2"/>
  <c r="O183" i="2" s="1"/>
  <c r="N192" i="2"/>
  <c r="O192" i="2" s="1"/>
  <c r="Q207" i="2"/>
  <c r="Z207" i="2" s="1" a="1"/>
  <c r="Z207" i="2" s="1"/>
  <c r="D208" i="2"/>
  <c r="C208" i="2"/>
  <c r="F82" i="19" l="1"/>
  <c r="J208" i="2"/>
  <c r="I208" i="2"/>
  <c r="K82" i="1" s="1"/>
  <c r="H208" i="2"/>
  <c r="J82" i="1" s="1"/>
  <c r="K208" i="2"/>
  <c r="I81" i="19"/>
  <c r="I81" i="1"/>
  <c r="H81" i="19"/>
  <c r="H81" i="1"/>
  <c r="G81" i="14"/>
  <c r="G81" i="15"/>
  <c r="I81" i="15"/>
  <c r="I81" i="14"/>
  <c r="H81" i="15"/>
  <c r="H81" i="14"/>
  <c r="Y208" i="2" a="1"/>
  <c r="Y208" i="2" s="1"/>
  <c r="F82" i="14"/>
  <c r="F82" i="15"/>
  <c r="AA207" i="2" a="1"/>
  <c r="AA207" i="2" s="1"/>
  <c r="X207" i="2"/>
  <c r="G81" i="1"/>
  <c r="F82" i="1"/>
  <c r="N208" i="2"/>
  <c r="P208" i="2"/>
  <c r="O208" i="2"/>
  <c r="S207" i="2"/>
  <c r="O151" i="2"/>
  <c r="B209" i="2"/>
  <c r="L208" i="2"/>
  <c r="N82" i="19" s="1"/>
  <c r="G208" i="2"/>
  <c r="M208" i="2"/>
  <c r="F208" i="2"/>
  <c r="E208" i="2"/>
  <c r="R208" i="2"/>
  <c r="J82" i="19" l="1"/>
  <c r="O82" i="19"/>
  <c r="O82" i="1"/>
  <c r="M82" i="19"/>
  <c r="M82" i="1"/>
  <c r="L82" i="19"/>
  <c r="L82" i="1"/>
  <c r="K82" i="19"/>
  <c r="J82" i="15"/>
  <c r="J82" i="14"/>
  <c r="M82" i="15"/>
  <c r="M82" i="14"/>
  <c r="K82" i="15"/>
  <c r="K82" i="14"/>
  <c r="O82" i="15"/>
  <c r="O82" i="14"/>
  <c r="N82" i="15"/>
  <c r="N82" i="14"/>
  <c r="L82" i="15"/>
  <c r="L82" i="14"/>
  <c r="N82" i="1"/>
  <c r="W208" i="2"/>
  <c r="V208" i="2"/>
  <c r="U208" i="2"/>
  <c r="G82" i="19" s="1"/>
  <c r="T208" i="2"/>
  <c r="P151" i="2"/>
  <c r="P152" i="2"/>
  <c r="Q152" i="2" s="1"/>
  <c r="P156" i="2"/>
  <c r="Q156" i="2" s="1"/>
  <c r="P158" i="2"/>
  <c r="Q158" i="2" s="1"/>
  <c r="P162" i="2"/>
  <c r="Q162" i="2" s="1"/>
  <c r="P157" i="2"/>
  <c r="Q157" i="2" s="1"/>
  <c r="P160" i="2"/>
  <c r="Q160" i="2" s="1"/>
  <c r="P161" i="2"/>
  <c r="Q161" i="2" s="1"/>
  <c r="P166" i="2"/>
  <c r="Q166" i="2" s="1"/>
  <c r="P170" i="2"/>
  <c r="Q170" i="2" s="1"/>
  <c r="P174" i="2"/>
  <c r="Q174" i="2" s="1"/>
  <c r="P153" i="2"/>
  <c r="Q153" i="2" s="1"/>
  <c r="P163" i="2"/>
  <c r="Q163" i="2" s="1"/>
  <c r="P168" i="2"/>
  <c r="Q168" i="2" s="1"/>
  <c r="P171" i="2"/>
  <c r="Q171" i="2" s="1"/>
  <c r="P178" i="2"/>
  <c r="Q178" i="2" s="1"/>
  <c r="P154" i="2"/>
  <c r="Q154" i="2" s="1"/>
  <c r="P155" i="2"/>
  <c r="Q155" i="2" s="1"/>
  <c r="P164" i="2"/>
  <c r="Q164" i="2" s="1"/>
  <c r="P165" i="2"/>
  <c r="Q165" i="2" s="1"/>
  <c r="P169" i="2"/>
  <c r="Q169" i="2" s="1"/>
  <c r="P175" i="2"/>
  <c r="Q175" i="2" s="1"/>
  <c r="P180" i="2"/>
  <c r="Q180" i="2" s="1"/>
  <c r="P184" i="2"/>
  <c r="Q184" i="2" s="1"/>
  <c r="P188" i="2"/>
  <c r="Q188" i="2" s="1"/>
  <c r="P192" i="2"/>
  <c r="Q192" i="2" s="1"/>
  <c r="P196" i="2"/>
  <c r="Q196" i="2" s="1"/>
  <c r="P181" i="2"/>
  <c r="Q181" i="2" s="1"/>
  <c r="P186" i="2"/>
  <c r="Q186" i="2" s="1"/>
  <c r="P189" i="2"/>
  <c r="Q189" i="2" s="1"/>
  <c r="P194" i="2"/>
  <c r="Q194" i="2" s="1"/>
  <c r="P197" i="2"/>
  <c r="Q197" i="2" s="1"/>
  <c r="P176" i="2"/>
  <c r="Q176" i="2" s="1"/>
  <c r="P183" i="2"/>
  <c r="Q183" i="2" s="1"/>
  <c r="P187" i="2"/>
  <c r="Q187" i="2" s="1"/>
  <c r="P159" i="2"/>
  <c r="Q159" i="2" s="1"/>
  <c r="P177" i="2"/>
  <c r="Q177" i="2" s="1"/>
  <c r="P179" i="2"/>
  <c r="Q179" i="2" s="1"/>
  <c r="P193" i="2"/>
  <c r="Q193" i="2" s="1"/>
  <c r="P167" i="2"/>
  <c r="Q167" i="2" s="1"/>
  <c r="P172" i="2"/>
  <c r="Q172" i="2" s="1"/>
  <c r="P173" i="2"/>
  <c r="Q173" i="2" s="1"/>
  <c r="P185" i="2"/>
  <c r="Q185" i="2" s="1"/>
  <c r="P190" i="2"/>
  <c r="Q190" i="2" s="1"/>
  <c r="P182" i="2"/>
  <c r="Q182" i="2" s="1"/>
  <c r="P191" i="2"/>
  <c r="Q191" i="2" s="1"/>
  <c r="P195" i="2"/>
  <c r="Q195" i="2" s="1"/>
  <c r="Q208" i="2"/>
  <c r="Z208" i="2" s="1" a="1"/>
  <c r="Z208" i="2" s="1"/>
  <c r="C209" i="2"/>
  <c r="D209" i="2"/>
  <c r="F83" i="19" l="1"/>
  <c r="J209" i="2"/>
  <c r="K209" i="2"/>
  <c r="H209" i="2"/>
  <c r="J83" i="1" s="1"/>
  <c r="I209" i="2"/>
  <c r="K83" i="1" s="1"/>
  <c r="H82" i="19"/>
  <c r="H82" i="1"/>
  <c r="I82" i="19"/>
  <c r="I82" i="1"/>
  <c r="G82" i="14"/>
  <c r="G82" i="15"/>
  <c r="H82" i="14"/>
  <c r="H82" i="15"/>
  <c r="I82" i="15"/>
  <c r="I82" i="14"/>
  <c r="Y209" i="2" a="1"/>
  <c r="Y209" i="2" s="1"/>
  <c r="F83" i="14"/>
  <c r="F83" i="15"/>
  <c r="AA208" i="2" a="1"/>
  <c r="AA208" i="2" s="1"/>
  <c r="X208" i="2"/>
  <c r="G82" i="1"/>
  <c r="F83" i="1"/>
  <c r="S208" i="2"/>
  <c r="R209" i="2"/>
  <c r="O209" i="2"/>
  <c r="P209" i="2"/>
  <c r="N209" i="2"/>
  <c r="B210" i="2"/>
  <c r="Q151" i="2"/>
  <c r="E209" i="2"/>
  <c r="L209" i="2"/>
  <c r="N83" i="19" s="1"/>
  <c r="F209" i="2"/>
  <c r="M209" i="2"/>
  <c r="G209" i="2"/>
  <c r="J83" i="19" l="1"/>
  <c r="L83" i="19"/>
  <c r="L83" i="1"/>
  <c r="O83" i="19"/>
  <c r="O83" i="1"/>
  <c r="M83" i="19"/>
  <c r="M83" i="1"/>
  <c r="K83" i="19"/>
  <c r="J83" i="14"/>
  <c r="J83" i="15"/>
  <c r="K83" i="15"/>
  <c r="K83" i="14"/>
  <c r="O83" i="15"/>
  <c r="O83" i="14"/>
  <c r="N83" i="15"/>
  <c r="N83" i="14"/>
  <c r="M83" i="15"/>
  <c r="M83" i="14"/>
  <c r="L83" i="15"/>
  <c r="L83" i="14"/>
  <c r="N83" i="1"/>
  <c r="V209" i="2"/>
  <c r="W209" i="2"/>
  <c r="U209" i="2"/>
  <c r="G83" i="19" s="1"/>
  <c r="T209" i="2"/>
  <c r="R151" i="2"/>
  <c r="R154" i="2"/>
  <c r="S154" i="2" s="1"/>
  <c r="R153" i="2"/>
  <c r="S153" i="2" s="1"/>
  <c r="R155" i="2"/>
  <c r="S155" i="2" s="1"/>
  <c r="R160" i="2"/>
  <c r="S160" i="2" s="1"/>
  <c r="R162" i="2"/>
  <c r="S162" i="2" s="1"/>
  <c r="R163" i="2"/>
  <c r="S163" i="2" s="1"/>
  <c r="R156" i="2"/>
  <c r="S156" i="2" s="1"/>
  <c r="R164" i="2"/>
  <c r="S164" i="2" s="1"/>
  <c r="R168" i="2"/>
  <c r="S168" i="2" s="1"/>
  <c r="R172" i="2"/>
  <c r="S172" i="2" s="1"/>
  <c r="R159" i="2"/>
  <c r="S159" i="2" s="1"/>
  <c r="R170" i="2"/>
  <c r="S170" i="2" s="1"/>
  <c r="R176" i="2"/>
  <c r="S176" i="2" s="1"/>
  <c r="R161" i="2"/>
  <c r="S161" i="2" s="1"/>
  <c r="R171" i="2"/>
  <c r="S171" i="2" s="1"/>
  <c r="R173" i="2"/>
  <c r="S173" i="2" s="1"/>
  <c r="R182" i="2"/>
  <c r="S182" i="2" s="1"/>
  <c r="R186" i="2"/>
  <c r="S186" i="2" s="1"/>
  <c r="R190" i="2"/>
  <c r="S190" i="2" s="1"/>
  <c r="R194" i="2"/>
  <c r="S194" i="2" s="1"/>
  <c r="R157" i="2"/>
  <c r="S157" i="2" s="1"/>
  <c r="R167" i="2"/>
  <c r="S167" i="2" s="1"/>
  <c r="R178" i="2"/>
  <c r="S178" i="2" s="1"/>
  <c r="R180" i="2"/>
  <c r="S180" i="2" s="1"/>
  <c r="R188" i="2"/>
  <c r="S188" i="2" s="1"/>
  <c r="R196" i="2"/>
  <c r="S196" i="2" s="1"/>
  <c r="R152" i="2"/>
  <c r="S152" i="2" s="1"/>
  <c r="R174" i="2"/>
  <c r="S174" i="2" s="1"/>
  <c r="R189" i="2"/>
  <c r="S189" i="2" s="1"/>
  <c r="R191" i="2"/>
  <c r="S191" i="2" s="1"/>
  <c r="R169" i="2"/>
  <c r="S169" i="2" s="1"/>
  <c r="R181" i="2"/>
  <c r="S181" i="2" s="1"/>
  <c r="R183" i="2"/>
  <c r="S183" i="2" s="1"/>
  <c r="R192" i="2"/>
  <c r="S192" i="2" s="1"/>
  <c r="R195" i="2"/>
  <c r="S195" i="2" s="1"/>
  <c r="R165" i="2"/>
  <c r="S165" i="2" s="1"/>
  <c r="R175" i="2"/>
  <c r="S175" i="2" s="1"/>
  <c r="R177" i="2"/>
  <c r="S177" i="2" s="1"/>
  <c r="R184" i="2"/>
  <c r="S184" i="2" s="1"/>
  <c r="R187" i="2"/>
  <c r="S187" i="2" s="1"/>
  <c r="R193" i="2"/>
  <c r="S193" i="2" s="1"/>
  <c r="R158" i="2"/>
  <c r="S158" i="2" s="1"/>
  <c r="R166" i="2"/>
  <c r="S166" i="2" s="1"/>
  <c r="R179" i="2"/>
  <c r="S179" i="2" s="1"/>
  <c r="R185" i="2"/>
  <c r="S185" i="2" s="1"/>
  <c r="R197" i="2"/>
  <c r="S197" i="2" s="1"/>
  <c r="Q209" i="2"/>
  <c r="Z209" i="2" s="1" a="1"/>
  <c r="Z209" i="2" s="1"/>
  <c r="D210" i="2"/>
  <c r="C210" i="2"/>
  <c r="J210" i="2" l="1"/>
  <c r="I210" i="2"/>
  <c r="K84" i="1" s="1"/>
  <c r="H210" i="2"/>
  <c r="J84" i="1" s="1"/>
  <c r="K210" i="2"/>
  <c r="I83" i="19"/>
  <c r="I83" i="1"/>
  <c r="H83" i="19"/>
  <c r="H83" i="1"/>
  <c r="F84" i="19"/>
  <c r="N210" i="2"/>
  <c r="Y210" i="2" a="1"/>
  <c r="Y210" i="2" s="1"/>
  <c r="F84" i="15"/>
  <c r="F84" i="14"/>
  <c r="G83" i="14"/>
  <c r="G83" i="15"/>
  <c r="I83" i="14"/>
  <c r="I83" i="15"/>
  <c r="H83" i="14"/>
  <c r="H83" i="15"/>
  <c r="AA209" i="2" a="1"/>
  <c r="AA209" i="2" s="1"/>
  <c r="X209" i="2"/>
  <c r="F84" i="1"/>
  <c r="S209" i="2"/>
  <c r="G83" i="1"/>
  <c r="O210" i="2"/>
  <c r="P210" i="2"/>
  <c r="B211" i="2"/>
  <c r="S151" i="2"/>
  <c r="L210" i="2"/>
  <c r="N84" i="19" s="1"/>
  <c r="M210" i="2"/>
  <c r="F210" i="2"/>
  <c r="G210" i="2"/>
  <c r="E210" i="2"/>
  <c r="R210" i="2"/>
  <c r="J84" i="19" l="1"/>
  <c r="L84" i="19"/>
  <c r="L84" i="1"/>
  <c r="M84" i="19"/>
  <c r="M84" i="1"/>
  <c r="O84" i="19"/>
  <c r="O84" i="1"/>
  <c r="K84" i="19"/>
  <c r="L84" i="14"/>
  <c r="L84" i="15"/>
  <c r="J84" i="14"/>
  <c r="J84" i="15"/>
  <c r="K84" i="14"/>
  <c r="K84" i="15"/>
  <c r="M84" i="14"/>
  <c r="M84" i="15"/>
  <c r="O84" i="15"/>
  <c r="O84" i="14"/>
  <c r="N84" i="15"/>
  <c r="N84" i="14"/>
  <c r="N84" i="1"/>
  <c r="W210" i="2"/>
  <c r="V210" i="2"/>
  <c r="U210" i="2"/>
  <c r="G84" i="19" s="1"/>
  <c r="T210" i="2"/>
  <c r="AA210" i="2" s="1" a="1"/>
  <c r="AA210" i="2" s="1"/>
  <c r="T151" i="2"/>
  <c r="T152" i="2"/>
  <c r="U152" i="2" s="1"/>
  <c r="T154" i="2"/>
  <c r="U154" i="2" s="1"/>
  <c r="T156" i="2"/>
  <c r="U156" i="2" s="1"/>
  <c r="T153" i="2"/>
  <c r="U153" i="2" s="1"/>
  <c r="T155" i="2"/>
  <c r="U155" i="2" s="1"/>
  <c r="T158" i="2"/>
  <c r="U158" i="2" s="1"/>
  <c r="T162" i="2"/>
  <c r="U162" i="2" s="1"/>
  <c r="T161" i="2"/>
  <c r="U161" i="2" s="1"/>
  <c r="T159" i="2"/>
  <c r="U159" i="2" s="1"/>
  <c r="T163" i="2"/>
  <c r="U163" i="2" s="1"/>
  <c r="T166" i="2"/>
  <c r="U166" i="2" s="1"/>
  <c r="T170" i="2"/>
  <c r="U170" i="2" s="1"/>
  <c r="T174" i="2"/>
  <c r="U174" i="2" s="1"/>
  <c r="T164" i="2"/>
  <c r="U164" i="2" s="1"/>
  <c r="T169" i="2"/>
  <c r="U169" i="2" s="1"/>
  <c r="T178" i="2"/>
  <c r="U178" i="2" s="1"/>
  <c r="T157" i="2"/>
  <c r="U157" i="2" s="1"/>
  <c r="T160" i="2"/>
  <c r="U160" i="2" s="1"/>
  <c r="T167" i="2"/>
  <c r="U167" i="2" s="1"/>
  <c r="T172" i="2"/>
  <c r="U172" i="2" s="1"/>
  <c r="T180" i="2"/>
  <c r="U180" i="2" s="1"/>
  <c r="T184" i="2"/>
  <c r="U184" i="2" s="1"/>
  <c r="T188" i="2"/>
  <c r="U188" i="2" s="1"/>
  <c r="T192" i="2"/>
  <c r="U192" i="2" s="1"/>
  <c r="T196" i="2"/>
  <c r="U196" i="2" s="1"/>
  <c r="T173" i="2"/>
  <c r="U173" i="2" s="1"/>
  <c r="T177" i="2"/>
  <c r="U177" i="2" s="1"/>
  <c r="T179" i="2"/>
  <c r="U179" i="2" s="1"/>
  <c r="T187" i="2"/>
  <c r="U187" i="2" s="1"/>
  <c r="T195" i="2"/>
  <c r="U195" i="2" s="1"/>
  <c r="T175" i="2"/>
  <c r="U175" i="2" s="1"/>
  <c r="T185" i="2"/>
  <c r="U185" i="2" s="1"/>
  <c r="T190" i="2"/>
  <c r="U190" i="2" s="1"/>
  <c r="T182" i="2"/>
  <c r="U182" i="2" s="1"/>
  <c r="T191" i="2"/>
  <c r="U191" i="2" s="1"/>
  <c r="T194" i="2"/>
  <c r="U194" i="2" s="1"/>
  <c r="T197" i="2"/>
  <c r="U197" i="2" s="1"/>
  <c r="T168" i="2"/>
  <c r="U168" i="2" s="1"/>
  <c r="T176" i="2"/>
  <c r="U176" i="2" s="1"/>
  <c r="T183" i="2"/>
  <c r="U183" i="2" s="1"/>
  <c r="T186" i="2"/>
  <c r="U186" i="2" s="1"/>
  <c r="T189" i="2"/>
  <c r="U189" i="2" s="1"/>
  <c r="T165" i="2"/>
  <c r="U165" i="2" s="1"/>
  <c r="T171" i="2"/>
  <c r="U171" i="2" s="1"/>
  <c r="T181" i="2"/>
  <c r="U181" i="2" s="1"/>
  <c r="T193" i="2"/>
  <c r="U193" i="2" s="1"/>
  <c r="Q210" i="2"/>
  <c r="Z210" i="2" s="1" a="1"/>
  <c r="Z210" i="2" s="1"/>
  <c r="C211" i="2"/>
  <c r="D211" i="2"/>
  <c r="J211" i="2" l="1"/>
  <c r="H211" i="2"/>
  <c r="J85" i="1" s="1"/>
  <c r="I211" i="2"/>
  <c r="K85" i="1" s="1"/>
  <c r="K211" i="2"/>
  <c r="H84" i="19"/>
  <c r="H84" i="1"/>
  <c r="I84" i="19"/>
  <c r="I84" i="1"/>
  <c r="F85" i="19"/>
  <c r="N211" i="2"/>
  <c r="G84" i="15"/>
  <c r="G84" i="14"/>
  <c r="I84" i="14"/>
  <c r="I84" i="15"/>
  <c r="Y211" i="2" a="1"/>
  <c r="Y211" i="2" s="1"/>
  <c r="F85" i="15"/>
  <c r="F85" i="14"/>
  <c r="H84" i="15"/>
  <c r="H84" i="14"/>
  <c r="X210" i="2"/>
  <c r="G84" i="1"/>
  <c r="F85" i="1"/>
  <c r="S210" i="2"/>
  <c r="P211" i="2"/>
  <c r="O211" i="2"/>
  <c r="F211" i="2"/>
  <c r="M211" i="2"/>
  <c r="E211" i="2"/>
  <c r="L211" i="2"/>
  <c r="N85" i="19" s="1"/>
  <c r="G211" i="2"/>
  <c r="B212" i="2"/>
  <c r="U151" i="2"/>
  <c r="R211" i="2"/>
  <c r="M85" i="19" l="1"/>
  <c r="M85" i="1"/>
  <c r="J85" i="19"/>
  <c r="O85" i="19"/>
  <c r="O85" i="1"/>
  <c r="L85" i="19"/>
  <c r="L85" i="1"/>
  <c r="K85" i="19"/>
  <c r="O85" i="15"/>
  <c r="O85" i="14"/>
  <c r="J85" i="15"/>
  <c r="J85" i="14"/>
  <c r="M85" i="14"/>
  <c r="M85" i="15"/>
  <c r="K85" i="14"/>
  <c r="K85" i="15"/>
  <c r="L85" i="14"/>
  <c r="L85" i="15"/>
  <c r="N85" i="14"/>
  <c r="N85" i="15"/>
  <c r="N85" i="1"/>
  <c r="W211" i="2"/>
  <c r="V211" i="2"/>
  <c r="U211" i="2"/>
  <c r="G85" i="19" s="1"/>
  <c r="T211" i="2"/>
  <c r="AA211" i="2" s="1" a="1"/>
  <c r="AA211" i="2" s="1"/>
  <c r="V151" i="2"/>
  <c r="B213" i="2" s="1"/>
  <c r="V154" i="2"/>
  <c r="W154" i="2" s="1"/>
  <c r="V152" i="2"/>
  <c r="W152" i="2" s="1"/>
  <c r="V160" i="2"/>
  <c r="W160" i="2" s="1"/>
  <c r="V163" i="2"/>
  <c r="W163" i="2" s="1"/>
  <c r="V157" i="2"/>
  <c r="W157" i="2" s="1"/>
  <c r="V158" i="2"/>
  <c r="W158" i="2" s="1"/>
  <c r="V161" i="2"/>
  <c r="W161" i="2" s="1"/>
  <c r="V168" i="2"/>
  <c r="W168" i="2" s="1"/>
  <c r="V172" i="2"/>
  <c r="W172" i="2" s="1"/>
  <c r="V165" i="2"/>
  <c r="W165" i="2" s="1"/>
  <c r="V171" i="2"/>
  <c r="W171" i="2" s="1"/>
  <c r="V173" i="2"/>
  <c r="W173" i="2" s="1"/>
  <c r="V176" i="2"/>
  <c r="W176" i="2" s="1"/>
  <c r="V153" i="2"/>
  <c r="W153" i="2" s="1"/>
  <c r="V166" i="2"/>
  <c r="W166" i="2" s="1"/>
  <c r="V169" i="2"/>
  <c r="W169" i="2" s="1"/>
  <c r="V175" i="2"/>
  <c r="W175" i="2" s="1"/>
  <c r="V177" i="2"/>
  <c r="W177" i="2" s="1"/>
  <c r="V182" i="2"/>
  <c r="W182" i="2" s="1"/>
  <c r="V186" i="2"/>
  <c r="W186" i="2" s="1"/>
  <c r="V190" i="2"/>
  <c r="W190" i="2" s="1"/>
  <c r="V194" i="2"/>
  <c r="W194" i="2" s="1"/>
  <c r="V155" i="2"/>
  <c r="W155" i="2" s="1"/>
  <c r="V181" i="2"/>
  <c r="W181" i="2" s="1"/>
  <c r="V183" i="2"/>
  <c r="W183" i="2" s="1"/>
  <c r="V189" i="2"/>
  <c r="W189" i="2" s="1"/>
  <c r="V191" i="2"/>
  <c r="W191" i="2" s="1"/>
  <c r="V197" i="2"/>
  <c r="W197" i="2" s="1"/>
  <c r="V164" i="2"/>
  <c r="W164" i="2" s="1"/>
  <c r="V167" i="2"/>
  <c r="W167" i="2" s="1"/>
  <c r="V162" i="2"/>
  <c r="W162" i="2" s="1"/>
  <c r="V184" i="2"/>
  <c r="W184" i="2" s="1"/>
  <c r="V187" i="2"/>
  <c r="W187" i="2" s="1"/>
  <c r="V193" i="2"/>
  <c r="W193" i="2" s="1"/>
  <c r="V170" i="2"/>
  <c r="W170" i="2" s="1"/>
  <c r="V179" i="2"/>
  <c r="W179" i="2" s="1"/>
  <c r="V185" i="2"/>
  <c r="W185" i="2" s="1"/>
  <c r="V196" i="2"/>
  <c r="W196" i="2" s="1"/>
  <c r="V156" i="2"/>
  <c r="W156" i="2" s="1"/>
  <c r="V159" i="2"/>
  <c r="W159" i="2" s="1"/>
  <c r="V174" i="2"/>
  <c r="W174" i="2" s="1"/>
  <c r="V188" i="2"/>
  <c r="W188" i="2" s="1"/>
  <c r="V178" i="2"/>
  <c r="W178" i="2" s="1"/>
  <c r="V180" i="2"/>
  <c r="W180" i="2" s="1"/>
  <c r="V192" i="2"/>
  <c r="W192" i="2" s="1"/>
  <c r="V195" i="2"/>
  <c r="W195" i="2" s="1"/>
  <c r="Q211" i="2"/>
  <c r="Z211" i="2" s="1" a="1"/>
  <c r="Z211" i="2" s="1"/>
  <c r="C212" i="2"/>
  <c r="D212" i="2"/>
  <c r="H212" i="2" l="1"/>
  <c r="J86" i="1" s="1"/>
  <c r="I212" i="2"/>
  <c r="K86" i="1" s="1"/>
  <c r="K212" i="2"/>
  <c r="J212" i="2"/>
  <c r="H85" i="19"/>
  <c r="H85" i="1"/>
  <c r="I85" i="19"/>
  <c r="I85" i="1"/>
  <c r="F86" i="19"/>
  <c r="N212" i="2"/>
  <c r="G85" i="15"/>
  <c r="G85" i="14"/>
  <c r="H85" i="15"/>
  <c r="H85" i="14"/>
  <c r="Y212" i="2" a="1"/>
  <c r="Y212" i="2" s="1"/>
  <c r="F86" i="15"/>
  <c r="F86" i="14"/>
  <c r="I85" i="15"/>
  <c r="I85" i="14"/>
  <c r="X211" i="2"/>
  <c r="G85" i="1"/>
  <c r="F86" i="1"/>
  <c r="S211" i="2"/>
  <c r="P212" i="2"/>
  <c r="O212" i="2"/>
  <c r="W151" i="2"/>
  <c r="C213" i="2"/>
  <c r="D213" i="2"/>
  <c r="L212" i="2"/>
  <c r="N86" i="19" s="1"/>
  <c r="G212" i="2"/>
  <c r="E212" i="2"/>
  <c r="F212" i="2"/>
  <c r="M212" i="2"/>
  <c r="R212" i="2"/>
  <c r="H213" i="2" l="1"/>
  <c r="J87" i="1" s="1"/>
  <c r="J213" i="2"/>
  <c r="I213" i="2"/>
  <c r="K87" i="1" s="1"/>
  <c r="K213" i="2"/>
  <c r="O86" i="19"/>
  <c r="O86" i="1"/>
  <c r="J86" i="19"/>
  <c r="M86" i="19"/>
  <c r="M86" i="1"/>
  <c r="L86" i="19"/>
  <c r="L86" i="1"/>
  <c r="K86" i="19"/>
  <c r="F87" i="19"/>
  <c r="N213" i="2"/>
  <c r="L86" i="15"/>
  <c r="L86" i="14"/>
  <c r="K86" i="15"/>
  <c r="K86" i="14"/>
  <c r="M86" i="14"/>
  <c r="M86" i="15"/>
  <c r="J86" i="15"/>
  <c r="J86" i="14"/>
  <c r="O86" i="14"/>
  <c r="O86" i="15"/>
  <c r="N86" i="14"/>
  <c r="N86" i="15"/>
  <c r="Y213" i="2" a="1"/>
  <c r="Y213" i="2" s="1"/>
  <c r="F87" i="14"/>
  <c r="F87" i="15"/>
  <c r="N86" i="1"/>
  <c r="F87" i="1"/>
  <c r="V212" i="2"/>
  <c r="W212" i="2"/>
  <c r="U212" i="2"/>
  <c r="G86" i="19" s="1"/>
  <c r="T212" i="2"/>
  <c r="AA212" i="2" s="1" a="1"/>
  <c r="AA212" i="2" s="1"/>
  <c r="O213" i="2"/>
  <c r="P213" i="2"/>
  <c r="X152" i="2"/>
  <c r="Y152" i="2" s="1"/>
  <c r="X155" i="2"/>
  <c r="Y155" i="2" s="1"/>
  <c r="X156" i="2"/>
  <c r="Y156" i="2" s="1"/>
  <c r="X154" i="2"/>
  <c r="Y154" i="2" s="1"/>
  <c r="X157" i="2"/>
  <c r="Y157" i="2" s="1"/>
  <c r="X158" i="2"/>
  <c r="Y158" i="2" s="1"/>
  <c r="X162" i="2"/>
  <c r="Y162" i="2" s="1"/>
  <c r="X153" i="2"/>
  <c r="Y153" i="2" s="1"/>
  <c r="X159" i="2"/>
  <c r="Y159" i="2" s="1"/>
  <c r="X160" i="2"/>
  <c r="Y160" i="2" s="1"/>
  <c r="X164" i="2"/>
  <c r="Y164" i="2" s="1"/>
  <c r="X166" i="2"/>
  <c r="Y166" i="2" s="1"/>
  <c r="X170" i="2"/>
  <c r="Y170" i="2" s="1"/>
  <c r="X174" i="2"/>
  <c r="Y174" i="2" s="1"/>
  <c r="X167" i="2"/>
  <c r="Y167" i="2" s="1"/>
  <c r="X172" i="2"/>
  <c r="Y172" i="2" s="1"/>
  <c r="X178" i="2"/>
  <c r="Y178" i="2" s="1"/>
  <c r="X165" i="2"/>
  <c r="Y165" i="2" s="1"/>
  <c r="X168" i="2"/>
  <c r="Y168" i="2" s="1"/>
  <c r="X171" i="2"/>
  <c r="Y171" i="2" s="1"/>
  <c r="X176" i="2"/>
  <c r="Y176" i="2" s="1"/>
  <c r="X180" i="2"/>
  <c r="Y180" i="2" s="1"/>
  <c r="X184" i="2"/>
  <c r="Y184" i="2" s="1"/>
  <c r="X188" i="2"/>
  <c r="Y188" i="2" s="1"/>
  <c r="X192" i="2"/>
  <c r="Y192" i="2" s="1"/>
  <c r="X196" i="2"/>
  <c r="Y196" i="2" s="1"/>
  <c r="X182" i="2"/>
  <c r="Y182" i="2" s="1"/>
  <c r="X185" i="2"/>
  <c r="Y185" i="2" s="1"/>
  <c r="X190" i="2"/>
  <c r="Y190" i="2" s="1"/>
  <c r="X193" i="2"/>
  <c r="Y193" i="2" s="1"/>
  <c r="X163" i="2"/>
  <c r="Y163" i="2" s="1"/>
  <c r="X169" i="2"/>
  <c r="Y169" i="2" s="1"/>
  <c r="X175" i="2"/>
  <c r="Y175" i="2" s="1"/>
  <c r="X183" i="2"/>
  <c r="Y183" i="2" s="1"/>
  <c r="X186" i="2"/>
  <c r="Y186" i="2" s="1"/>
  <c r="X189" i="2"/>
  <c r="Y189" i="2" s="1"/>
  <c r="X195" i="2"/>
  <c r="Y195" i="2" s="1"/>
  <c r="X161" i="2"/>
  <c r="Y161" i="2" s="1"/>
  <c r="X181" i="2"/>
  <c r="Y181" i="2" s="1"/>
  <c r="X187" i="2"/>
  <c r="Y187" i="2" s="1"/>
  <c r="X179" i="2"/>
  <c r="Y179" i="2" s="1"/>
  <c r="X173" i="2"/>
  <c r="Y173" i="2" s="1"/>
  <c r="X177" i="2"/>
  <c r="Y177" i="2" s="1"/>
  <c r="X191" i="2"/>
  <c r="Y191" i="2" s="1"/>
  <c r="X194" i="2"/>
  <c r="Y194" i="2" s="1"/>
  <c r="X197" i="2"/>
  <c r="Y197" i="2" s="1"/>
  <c r="X151" i="2"/>
  <c r="Y151" i="2" s="1"/>
  <c r="R213" i="2"/>
  <c r="Q212" i="2"/>
  <c r="Z212" i="2" s="1" a="1"/>
  <c r="Z212" i="2" s="1"/>
  <c r="L213" i="2"/>
  <c r="N87" i="19" s="1"/>
  <c r="E213" i="2"/>
  <c r="G213" i="2"/>
  <c r="M213" i="2"/>
  <c r="F213" i="2"/>
  <c r="J87" i="19" l="1"/>
  <c r="I86" i="19"/>
  <c r="I86" i="1"/>
  <c r="H86" i="19"/>
  <c r="H86" i="1"/>
  <c r="M87" i="19"/>
  <c r="M87" i="1"/>
  <c r="O87" i="19"/>
  <c r="O87" i="1"/>
  <c r="L87" i="19"/>
  <c r="L87" i="1"/>
  <c r="K87" i="19"/>
  <c r="N87" i="14"/>
  <c r="N87" i="15"/>
  <c r="G86" i="15"/>
  <c r="G86" i="14"/>
  <c r="I86" i="15"/>
  <c r="I86" i="14"/>
  <c r="H86" i="15"/>
  <c r="H86" i="14"/>
  <c r="L87" i="15"/>
  <c r="L87" i="14"/>
  <c r="K87" i="15"/>
  <c r="K87" i="14"/>
  <c r="J87" i="15"/>
  <c r="J87" i="14"/>
  <c r="M87" i="15"/>
  <c r="M87" i="14"/>
  <c r="O87" i="14"/>
  <c r="O87" i="15"/>
  <c r="X212" i="2"/>
  <c r="G86" i="1"/>
  <c r="N87" i="1"/>
  <c r="S212" i="2"/>
  <c r="V213" i="2"/>
  <c r="W213" i="2"/>
  <c r="U213" i="2"/>
  <c r="G87" i="19" s="1"/>
  <c r="T213" i="2"/>
  <c r="AA213" i="2" s="1" a="1"/>
  <c r="AA213" i="2" s="1"/>
  <c r="Z154" i="2"/>
  <c r="AA154" i="2" s="1"/>
  <c r="Z160" i="2"/>
  <c r="AA160" i="2" s="1"/>
  <c r="Z158" i="2"/>
  <c r="AA158" i="2" s="1"/>
  <c r="Z163" i="2"/>
  <c r="AA163" i="2" s="1"/>
  <c r="Z153" i="2"/>
  <c r="AA153" i="2" s="1"/>
  <c r="Z155" i="2"/>
  <c r="AA155" i="2" s="1"/>
  <c r="Z162" i="2"/>
  <c r="AA162" i="2" s="1"/>
  <c r="Z168" i="2"/>
  <c r="AA168" i="2" s="1"/>
  <c r="Z172" i="2"/>
  <c r="AA172" i="2" s="1"/>
  <c r="Z152" i="2"/>
  <c r="AA152" i="2" s="1"/>
  <c r="Z156" i="2"/>
  <c r="AA156" i="2" s="1"/>
  <c r="Z164" i="2"/>
  <c r="AA164" i="2" s="1"/>
  <c r="Z166" i="2"/>
  <c r="AA166" i="2" s="1"/>
  <c r="Z174" i="2"/>
  <c r="AA174" i="2" s="1"/>
  <c r="Z176" i="2"/>
  <c r="AA176" i="2" s="1"/>
  <c r="Z170" i="2"/>
  <c r="AA170" i="2" s="1"/>
  <c r="Z178" i="2"/>
  <c r="AA178" i="2" s="1"/>
  <c r="Z182" i="2"/>
  <c r="AA182" i="2" s="1"/>
  <c r="Z186" i="2"/>
  <c r="AA186" i="2" s="1"/>
  <c r="Z190" i="2"/>
  <c r="AA190" i="2" s="1"/>
  <c r="Z194" i="2"/>
  <c r="AA194" i="2" s="1"/>
  <c r="Z159" i="2"/>
  <c r="AA159" i="2" s="1"/>
  <c r="Z171" i="2"/>
  <c r="AA171" i="2" s="1"/>
  <c r="Z175" i="2"/>
  <c r="AA175" i="2" s="1"/>
  <c r="Z177" i="2"/>
  <c r="AA177" i="2" s="1"/>
  <c r="Z184" i="2"/>
  <c r="AA184" i="2" s="1"/>
  <c r="Z192" i="2"/>
  <c r="AA192" i="2" s="1"/>
  <c r="Z157" i="2"/>
  <c r="AA157" i="2" s="1"/>
  <c r="Z165" i="2"/>
  <c r="AA165" i="2" s="1"/>
  <c r="Z167" i="2"/>
  <c r="AA167" i="2" s="1"/>
  <c r="Z173" i="2"/>
  <c r="AA173" i="2" s="1"/>
  <c r="Z188" i="2"/>
  <c r="AA188" i="2" s="1"/>
  <c r="Z197" i="2"/>
  <c r="AA197" i="2" s="1"/>
  <c r="Z180" i="2"/>
  <c r="AA180" i="2" s="1"/>
  <c r="Z189" i="2"/>
  <c r="AA189" i="2" s="1"/>
  <c r="Z191" i="2"/>
  <c r="AA191" i="2" s="1"/>
  <c r="Z195" i="2"/>
  <c r="AA195" i="2" s="1"/>
  <c r="Z161" i="2"/>
  <c r="AA161" i="2" s="1"/>
  <c r="Z169" i="2"/>
  <c r="AA169" i="2" s="1"/>
  <c r="Z181" i="2"/>
  <c r="AA181" i="2" s="1"/>
  <c r="Z183" i="2"/>
  <c r="AA183" i="2" s="1"/>
  <c r="Z187" i="2"/>
  <c r="AA187" i="2" s="1"/>
  <c r="Z193" i="2"/>
  <c r="AA193" i="2" s="1"/>
  <c r="Z179" i="2"/>
  <c r="AA179" i="2" s="1"/>
  <c r="Z185" i="2"/>
  <c r="AA185" i="2" s="1"/>
  <c r="Z196" i="2"/>
  <c r="AA196" i="2" s="1"/>
  <c r="B214" i="2"/>
  <c r="D214" i="2" s="1"/>
  <c r="Z151" i="2"/>
  <c r="Q213" i="2"/>
  <c r="Z213" i="2" s="1" a="1"/>
  <c r="Z213" i="2" s="1"/>
  <c r="H214" i="2" l="1"/>
  <c r="J88" i="1" s="1"/>
  <c r="J214" i="2"/>
  <c r="K214" i="2"/>
  <c r="I214" i="2"/>
  <c r="K88" i="1" s="1"/>
  <c r="H87" i="19"/>
  <c r="H87" i="1"/>
  <c r="I87" i="19"/>
  <c r="I87" i="1"/>
  <c r="F88" i="19"/>
  <c r="N214" i="2"/>
  <c r="Y214" i="2" a="1"/>
  <c r="Y214" i="2" s="1"/>
  <c r="F88" i="14"/>
  <c r="F88" i="15"/>
  <c r="G87" i="14"/>
  <c r="G87" i="15"/>
  <c r="I87" i="15"/>
  <c r="I87" i="14"/>
  <c r="H87" i="15"/>
  <c r="H87" i="14"/>
  <c r="X213" i="2"/>
  <c r="G87" i="1"/>
  <c r="S213" i="2"/>
  <c r="F88" i="1"/>
  <c r="O214" i="2"/>
  <c r="P214" i="2"/>
  <c r="C214" i="2"/>
  <c r="AA151" i="2"/>
  <c r="B215" i="2"/>
  <c r="L214" i="2"/>
  <c r="N88" i="19" s="1"/>
  <c r="F214" i="2"/>
  <c r="G214" i="2"/>
  <c r="M214" i="2"/>
  <c r="E214" i="2"/>
  <c r="R214" i="2"/>
  <c r="O88" i="19" l="1"/>
  <c r="O88" i="1"/>
  <c r="J88" i="19"/>
  <c r="M88" i="19"/>
  <c r="M88" i="1"/>
  <c r="L88" i="19"/>
  <c r="L88" i="1"/>
  <c r="K88" i="19"/>
  <c r="M88" i="15"/>
  <c r="M88" i="14"/>
  <c r="K88" i="15"/>
  <c r="K88" i="14"/>
  <c r="L88" i="15"/>
  <c r="L88" i="14"/>
  <c r="J88" i="15"/>
  <c r="J88" i="14"/>
  <c r="O88" i="15"/>
  <c r="O88" i="14"/>
  <c r="N88" i="15"/>
  <c r="N88" i="14"/>
  <c r="N88" i="1"/>
  <c r="W214" i="2"/>
  <c r="V214" i="2"/>
  <c r="U214" i="2"/>
  <c r="G88" i="19" s="1"/>
  <c r="T214" i="2"/>
  <c r="AA214" i="2" s="1" a="1"/>
  <c r="AA214" i="2" s="1"/>
  <c r="AB151" i="2"/>
  <c r="AB152" i="2"/>
  <c r="AC152" i="2" s="1"/>
  <c r="AB153" i="2"/>
  <c r="AC153" i="2" s="1"/>
  <c r="AB156" i="2"/>
  <c r="AC156" i="2" s="1"/>
  <c r="AB155" i="2"/>
  <c r="AC155" i="2" s="1"/>
  <c r="AB158" i="2"/>
  <c r="AC158" i="2" s="1"/>
  <c r="AB162" i="2"/>
  <c r="AC162" i="2" s="1"/>
  <c r="AB166" i="2"/>
  <c r="AC166" i="2" s="1"/>
  <c r="AB170" i="2"/>
  <c r="AC170" i="2" s="1"/>
  <c r="AB174" i="2"/>
  <c r="AC174" i="2" s="1"/>
  <c r="AB159" i="2"/>
  <c r="AC159" i="2" s="1"/>
  <c r="AB165" i="2"/>
  <c r="AC165" i="2" s="1"/>
  <c r="AB173" i="2"/>
  <c r="AC173" i="2" s="1"/>
  <c r="AB178" i="2"/>
  <c r="AC178" i="2" s="1"/>
  <c r="AB163" i="2"/>
  <c r="AC163" i="2" s="1"/>
  <c r="AB177" i="2"/>
  <c r="AC177" i="2" s="1"/>
  <c r="AB180" i="2"/>
  <c r="AC180" i="2" s="1"/>
  <c r="AB184" i="2"/>
  <c r="AC184" i="2" s="1"/>
  <c r="AB188" i="2"/>
  <c r="AC188" i="2" s="1"/>
  <c r="AB192" i="2"/>
  <c r="AC192" i="2" s="1"/>
  <c r="AB196" i="2"/>
  <c r="AC196" i="2" s="1"/>
  <c r="AB161" i="2"/>
  <c r="AC161" i="2" s="1"/>
  <c r="AB167" i="2"/>
  <c r="AC167" i="2" s="1"/>
  <c r="AB176" i="2"/>
  <c r="AC176" i="2" s="1"/>
  <c r="AB183" i="2"/>
  <c r="AC183" i="2" s="1"/>
  <c r="AB191" i="2"/>
  <c r="AC191" i="2" s="1"/>
  <c r="AB171" i="2"/>
  <c r="AC171" i="2" s="1"/>
  <c r="AB175" i="2"/>
  <c r="AC175" i="2" s="1"/>
  <c r="AB164" i="2"/>
  <c r="AC164" i="2" s="1"/>
  <c r="AB179" i="2"/>
  <c r="AC179" i="2" s="1"/>
  <c r="AB193" i="2"/>
  <c r="AC193" i="2" s="1"/>
  <c r="AB172" i="2"/>
  <c r="AC172" i="2" s="1"/>
  <c r="AB185" i="2"/>
  <c r="AC185" i="2" s="1"/>
  <c r="AB190" i="2"/>
  <c r="AC190" i="2" s="1"/>
  <c r="AB194" i="2"/>
  <c r="AC194" i="2" s="1"/>
  <c r="AB197" i="2"/>
  <c r="AC197" i="2" s="1"/>
  <c r="AB154" i="2"/>
  <c r="AC154" i="2" s="1"/>
  <c r="AB157" i="2"/>
  <c r="AC157" i="2" s="1"/>
  <c r="AB160" i="2"/>
  <c r="AC160" i="2" s="1"/>
  <c r="AB182" i="2"/>
  <c r="AC182" i="2" s="1"/>
  <c r="AB186" i="2"/>
  <c r="AC186" i="2" s="1"/>
  <c r="AB189" i="2"/>
  <c r="AC189" i="2" s="1"/>
  <c r="AB195" i="2"/>
  <c r="AC195" i="2" s="1"/>
  <c r="AB168" i="2"/>
  <c r="AC168" i="2" s="1"/>
  <c r="AB169" i="2"/>
  <c r="AC169" i="2" s="1"/>
  <c r="AB181" i="2"/>
  <c r="AC181" i="2" s="1"/>
  <c r="AB187" i="2"/>
  <c r="AC187" i="2" s="1"/>
  <c r="Q214" i="2"/>
  <c r="Z214" i="2" s="1" a="1"/>
  <c r="Z214" i="2" s="1"/>
  <c r="D215" i="2"/>
  <c r="C215" i="2"/>
  <c r="J215" i="2" l="1"/>
  <c r="H215" i="2"/>
  <c r="J89" i="1" s="1"/>
  <c r="K215" i="2"/>
  <c r="I215" i="2"/>
  <c r="K89" i="1" s="1"/>
  <c r="H88" i="19"/>
  <c r="H88" i="1"/>
  <c r="I88" i="19"/>
  <c r="I88" i="1"/>
  <c r="F89" i="19"/>
  <c r="N215" i="2"/>
  <c r="Y215" i="2" a="1"/>
  <c r="Y215" i="2" s="1"/>
  <c r="F89" i="15"/>
  <c r="F89" i="14"/>
  <c r="G88" i="14"/>
  <c r="G88" i="15"/>
  <c r="H88" i="14"/>
  <c r="H88" i="15"/>
  <c r="I88" i="14"/>
  <c r="I88" i="15"/>
  <c r="X214" i="2"/>
  <c r="G88" i="1"/>
  <c r="F89" i="1"/>
  <c r="S214" i="2"/>
  <c r="P215" i="2"/>
  <c r="O215" i="2"/>
  <c r="R215" i="2"/>
  <c r="B216" i="2"/>
  <c r="AC151" i="2"/>
  <c r="M215" i="2"/>
  <c r="F215" i="2"/>
  <c r="L215" i="2"/>
  <c r="N89" i="19" s="1"/>
  <c r="E215" i="2"/>
  <c r="G215" i="2"/>
  <c r="J89" i="19" l="1"/>
  <c r="O89" i="19"/>
  <c r="O89" i="1"/>
  <c r="M89" i="19"/>
  <c r="M89" i="1"/>
  <c r="L89" i="19"/>
  <c r="L89" i="1"/>
  <c r="K89" i="19"/>
  <c r="J89" i="14"/>
  <c r="J89" i="15"/>
  <c r="M89" i="15"/>
  <c r="M89" i="14"/>
  <c r="K89" i="15"/>
  <c r="K89" i="14"/>
  <c r="L89" i="15"/>
  <c r="L89" i="14"/>
  <c r="N89" i="15"/>
  <c r="N89" i="14"/>
  <c r="O89" i="15"/>
  <c r="O89" i="14"/>
  <c r="N89" i="1"/>
  <c r="W215" i="2"/>
  <c r="V215" i="2"/>
  <c r="U215" i="2"/>
  <c r="G89" i="19" s="1"/>
  <c r="T215" i="2"/>
  <c r="AA215" i="2" s="1" a="1"/>
  <c r="AA215" i="2" s="1"/>
  <c r="AD151" i="2"/>
  <c r="AD154" i="2"/>
  <c r="AE154" i="2" s="1"/>
  <c r="AD152" i="2"/>
  <c r="AE152" i="2" s="1"/>
  <c r="AD156" i="2"/>
  <c r="AE156" i="2" s="1"/>
  <c r="AD153" i="2"/>
  <c r="AE153" i="2" s="1"/>
  <c r="AD155" i="2"/>
  <c r="AE155" i="2" s="1"/>
  <c r="AD157" i="2"/>
  <c r="AE157" i="2" s="1"/>
  <c r="AD160" i="2"/>
  <c r="AE160" i="2" s="1"/>
  <c r="AD159" i="2"/>
  <c r="AE159" i="2" s="1"/>
  <c r="AD161" i="2"/>
  <c r="AE161" i="2" s="1"/>
  <c r="AD163" i="2"/>
  <c r="AE163" i="2" s="1"/>
  <c r="AD168" i="2"/>
  <c r="AE168" i="2" s="1"/>
  <c r="AD172" i="2"/>
  <c r="AE172" i="2" s="1"/>
  <c r="AD158" i="2"/>
  <c r="AE158" i="2" s="1"/>
  <c r="AD167" i="2"/>
  <c r="AE167" i="2" s="1"/>
  <c r="AD169" i="2"/>
  <c r="AE169" i="2" s="1"/>
  <c r="AD176" i="2"/>
  <c r="AE176" i="2" s="1"/>
  <c r="AD165" i="2"/>
  <c r="AE165" i="2" s="1"/>
  <c r="AD174" i="2"/>
  <c r="AE174" i="2" s="1"/>
  <c r="AD182" i="2"/>
  <c r="AE182" i="2" s="1"/>
  <c r="AD186" i="2"/>
  <c r="AE186" i="2" s="1"/>
  <c r="AD190" i="2"/>
  <c r="AE190" i="2" s="1"/>
  <c r="AD194" i="2"/>
  <c r="AE194" i="2" s="1"/>
  <c r="AD166" i="2"/>
  <c r="AE166" i="2" s="1"/>
  <c r="AD179" i="2"/>
  <c r="AE179" i="2" s="1"/>
  <c r="AD185" i="2"/>
  <c r="AE185" i="2" s="1"/>
  <c r="AD187" i="2"/>
  <c r="AE187" i="2" s="1"/>
  <c r="AD193" i="2"/>
  <c r="AE193" i="2" s="1"/>
  <c r="AD195" i="2"/>
  <c r="AE195" i="2" s="1"/>
  <c r="AD162" i="2"/>
  <c r="AE162" i="2" s="1"/>
  <c r="AD170" i="2"/>
  <c r="AE170" i="2" s="1"/>
  <c r="AD173" i="2"/>
  <c r="AE173" i="2" s="1"/>
  <c r="AD181" i="2"/>
  <c r="AE181" i="2" s="1"/>
  <c r="AD183" i="2"/>
  <c r="AE183" i="2" s="1"/>
  <c r="AD192" i="2"/>
  <c r="AE192" i="2" s="1"/>
  <c r="AD164" i="2"/>
  <c r="AE164" i="2" s="1"/>
  <c r="AD171" i="2"/>
  <c r="AE171" i="2" s="1"/>
  <c r="AD175" i="2"/>
  <c r="AE175" i="2" s="1"/>
  <c r="AD177" i="2"/>
  <c r="AE177" i="2" s="1"/>
  <c r="AD184" i="2"/>
  <c r="AE184" i="2" s="1"/>
  <c r="AD196" i="2"/>
  <c r="AE196" i="2" s="1"/>
  <c r="AD178" i="2"/>
  <c r="AE178" i="2" s="1"/>
  <c r="AD188" i="2"/>
  <c r="AE188" i="2" s="1"/>
  <c r="AD197" i="2"/>
  <c r="AE197" i="2" s="1"/>
  <c r="AD180" i="2"/>
  <c r="AE180" i="2" s="1"/>
  <c r="AD189" i="2"/>
  <c r="AE189" i="2" s="1"/>
  <c r="AD191" i="2"/>
  <c r="AE191" i="2" s="1"/>
  <c r="Q215" i="2"/>
  <c r="Z215" i="2" s="1" a="1"/>
  <c r="Z215" i="2" s="1"/>
  <c r="C216" i="2"/>
  <c r="D216" i="2"/>
  <c r="K216" i="2" l="1"/>
  <c r="I216" i="2"/>
  <c r="K90" i="1" s="1"/>
  <c r="H216" i="2"/>
  <c r="J90" i="1" s="1"/>
  <c r="J216" i="2"/>
  <c r="H89" i="19"/>
  <c r="H89" i="1"/>
  <c r="I89" i="19"/>
  <c r="I89" i="1"/>
  <c r="F90" i="19"/>
  <c r="N216" i="2"/>
  <c r="G89" i="14"/>
  <c r="G89" i="15"/>
  <c r="H89" i="14"/>
  <c r="H89" i="15"/>
  <c r="I89" i="14"/>
  <c r="I89" i="15"/>
  <c r="Y216" i="2" a="1"/>
  <c r="Y216" i="2" s="1"/>
  <c r="F90" i="15"/>
  <c r="F90" i="14"/>
  <c r="X215" i="2"/>
  <c r="G89" i="1"/>
  <c r="F90" i="1"/>
  <c r="S215" i="2"/>
  <c r="P216" i="2"/>
  <c r="O216" i="2"/>
  <c r="L216" i="2"/>
  <c r="N90" i="19" s="1"/>
  <c r="G216" i="2"/>
  <c r="F216" i="2"/>
  <c r="E216" i="2"/>
  <c r="M216" i="2"/>
  <c r="R216" i="2"/>
  <c r="B217" i="2"/>
  <c r="AE151" i="2"/>
  <c r="O90" i="19" l="1"/>
  <c r="O90" i="1"/>
  <c r="M90" i="19"/>
  <c r="M90" i="1"/>
  <c r="J90" i="19"/>
  <c r="L90" i="19"/>
  <c r="L90" i="1"/>
  <c r="K90" i="19"/>
  <c r="M90" i="15"/>
  <c r="M90" i="14"/>
  <c r="K90" i="14"/>
  <c r="K90" i="15"/>
  <c r="N90" i="15"/>
  <c r="N90" i="14"/>
  <c r="J90" i="14"/>
  <c r="J90" i="15"/>
  <c r="L90" i="14"/>
  <c r="L90" i="15"/>
  <c r="O90" i="15"/>
  <c r="O90" i="14"/>
  <c r="N90" i="1"/>
  <c r="W216" i="2"/>
  <c r="U216" i="2"/>
  <c r="G90" i="19" s="1"/>
  <c r="V216" i="2"/>
  <c r="T216" i="2"/>
  <c r="AA216" i="2" s="1" a="1"/>
  <c r="AA216" i="2" s="1"/>
  <c r="AF151" i="2"/>
  <c r="AG151" i="2" s="1"/>
  <c r="AF152" i="2"/>
  <c r="AG152" i="2" s="1"/>
  <c r="AF156" i="2"/>
  <c r="AG156" i="2" s="1"/>
  <c r="AF154" i="2"/>
  <c r="AG154" i="2" s="1"/>
  <c r="AF158" i="2"/>
  <c r="AG158" i="2" s="1"/>
  <c r="AF162" i="2"/>
  <c r="AG162" i="2" s="1"/>
  <c r="AF155" i="2"/>
  <c r="AG155" i="2" s="1"/>
  <c r="AF160" i="2"/>
  <c r="AG160" i="2" s="1"/>
  <c r="AF157" i="2"/>
  <c r="AG157" i="2" s="1"/>
  <c r="AF166" i="2"/>
  <c r="AG166" i="2" s="1"/>
  <c r="AF170" i="2"/>
  <c r="AG170" i="2" s="1"/>
  <c r="AF174" i="2"/>
  <c r="AG174" i="2" s="1"/>
  <c r="AF161" i="2"/>
  <c r="AG161" i="2" s="1"/>
  <c r="AF168" i="2"/>
  <c r="AG168" i="2" s="1"/>
  <c r="AF171" i="2"/>
  <c r="AG171" i="2" s="1"/>
  <c r="AF178" i="2"/>
  <c r="AG178" i="2" s="1"/>
  <c r="AF173" i="2"/>
  <c r="AG173" i="2" s="1"/>
  <c r="AF175" i="2"/>
  <c r="AG175" i="2" s="1"/>
  <c r="AF180" i="2"/>
  <c r="AG180" i="2" s="1"/>
  <c r="AF184" i="2"/>
  <c r="AG184" i="2" s="1"/>
  <c r="AF188" i="2"/>
  <c r="AG188" i="2" s="1"/>
  <c r="AF192" i="2"/>
  <c r="AG192" i="2" s="1"/>
  <c r="AF196" i="2"/>
  <c r="AG196" i="2" s="1"/>
  <c r="AF164" i="2"/>
  <c r="AG164" i="2" s="1"/>
  <c r="AF165" i="2"/>
  <c r="AG165" i="2" s="1"/>
  <c r="AF169" i="2"/>
  <c r="AG169" i="2" s="1"/>
  <c r="AF181" i="2"/>
  <c r="AG181" i="2" s="1"/>
  <c r="AF186" i="2"/>
  <c r="AG186" i="2" s="1"/>
  <c r="AF189" i="2"/>
  <c r="AG189" i="2" s="1"/>
  <c r="AF194" i="2"/>
  <c r="AG194" i="2" s="1"/>
  <c r="AF197" i="2"/>
  <c r="AG197" i="2" s="1"/>
  <c r="AF172" i="2"/>
  <c r="AG172" i="2" s="1"/>
  <c r="AF182" i="2"/>
  <c r="AG182" i="2" s="1"/>
  <c r="AF191" i="2"/>
  <c r="AG191" i="2" s="1"/>
  <c r="AF195" i="2"/>
  <c r="AG195" i="2" s="1"/>
  <c r="AF167" i="2"/>
  <c r="AG167" i="2" s="1"/>
  <c r="AF176" i="2"/>
  <c r="AG176" i="2" s="1"/>
  <c r="AF183" i="2"/>
  <c r="AG183" i="2" s="1"/>
  <c r="AF187" i="2"/>
  <c r="AG187" i="2" s="1"/>
  <c r="AF153" i="2"/>
  <c r="AG153" i="2" s="1"/>
  <c r="AF177" i="2"/>
  <c r="AG177" i="2" s="1"/>
  <c r="AF179" i="2"/>
  <c r="AG179" i="2" s="1"/>
  <c r="AF193" i="2"/>
  <c r="AG193" i="2" s="1"/>
  <c r="AF159" i="2"/>
  <c r="AG159" i="2" s="1"/>
  <c r="AF163" i="2"/>
  <c r="AG163" i="2" s="1"/>
  <c r="AF185" i="2"/>
  <c r="AG185" i="2" s="1"/>
  <c r="AF190" i="2"/>
  <c r="AG190" i="2" s="1"/>
  <c r="C217" i="2"/>
  <c r="D217" i="2"/>
  <c r="Q216" i="2"/>
  <c r="Z216" i="2" s="1" a="1"/>
  <c r="Z216" i="2" s="1"/>
  <c r="K217" i="2" l="1"/>
  <c r="J217" i="2"/>
  <c r="I217" i="2"/>
  <c r="K91" i="1" s="1"/>
  <c r="H217" i="2"/>
  <c r="J91" i="1" s="1"/>
  <c r="I90" i="19"/>
  <c r="I90" i="1"/>
  <c r="H90" i="19"/>
  <c r="H90" i="1"/>
  <c r="F91" i="19"/>
  <c r="N217" i="2"/>
  <c r="H90" i="15"/>
  <c r="H90" i="14"/>
  <c r="G90" i="15"/>
  <c r="G90" i="14"/>
  <c r="Y217" i="2" a="1"/>
  <c r="Y217" i="2" s="1"/>
  <c r="F91" i="15"/>
  <c r="F91" i="14"/>
  <c r="I90" i="14"/>
  <c r="I90" i="15"/>
  <c r="X216" i="2"/>
  <c r="G90" i="1"/>
  <c r="S216" i="2"/>
  <c r="F91" i="1"/>
  <c r="O217" i="2"/>
  <c r="P217" i="2"/>
  <c r="AH154" i="2"/>
  <c r="AI154" i="2" s="1"/>
  <c r="AH153" i="2"/>
  <c r="AI153" i="2" s="1"/>
  <c r="AH155" i="2"/>
  <c r="AI155" i="2" s="1"/>
  <c r="AH156" i="2"/>
  <c r="AI156" i="2" s="1"/>
  <c r="AH160" i="2"/>
  <c r="AI160" i="2" s="1"/>
  <c r="AH162" i="2"/>
  <c r="AI162" i="2" s="1"/>
  <c r="AH163" i="2"/>
  <c r="AI163" i="2" s="1"/>
  <c r="AH159" i="2"/>
  <c r="AI159" i="2" s="1"/>
  <c r="AH164" i="2"/>
  <c r="AI164" i="2" s="1"/>
  <c r="AH168" i="2"/>
  <c r="AI168" i="2" s="1"/>
  <c r="AH172" i="2"/>
  <c r="AI172" i="2" s="1"/>
  <c r="AH170" i="2"/>
  <c r="AI170" i="2" s="1"/>
  <c r="AH176" i="2"/>
  <c r="AI176" i="2" s="1"/>
  <c r="AH152" i="2"/>
  <c r="AI152" i="2" s="1"/>
  <c r="AH158" i="2"/>
  <c r="AI158" i="2" s="1"/>
  <c r="AH167" i="2"/>
  <c r="AI167" i="2" s="1"/>
  <c r="AH182" i="2"/>
  <c r="AI182" i="2" s="1"/>
  <c r="AH186" i="2"/>
  <c r="AI186" i="2" s="1"/>
  <c r="AH190" i="2"/>
  <c r="AI190" i="2" s="1"/>
  <c r="AH194" i="2"/>
  <c r="AI194" i="2" s="1"/>
  <c r="AH174" i="2"/>
  <c r="AI174" i="2" s="1"/>
  <c r="AH175" i="2"/>
  <c r="AI175" i="2" s="1"/>
  <c r="AH177" i="2"/>
  <c r="AI177" i="2" s="1"/>
  <c r="AH180" i="2"/>
  <c r="AI180" i="2" s="1"/>
  <c r="AH188" i="2"/>
  <c r="AI188" i="2" s="1"/>
  <c r="AH196" i="2"/>
  <c r="AI196" i="2" s="1"/>
  <c r="AH161" i="2"/>
  <c r="AI161" i="2" s="1"/>
  <c r="AH165" i="2"/>
  <c r="AI165" i="2" s="1"/>
  <c r="AH178" i="2"/>
  <c r="AI178" i="2" s="1"/>
  <c r="AH169" i="2"/>
  <c r="AI169" i="2" s="1"/>
  <c r="AH179" i="2"/>
  <c r="AI179" i="2" s="1"/>
  <c r="AH185" i="2"/>
  <c r="AI185" i="2" s="1"/>
  <c r="AH197" i="2"/>
  <c r="AI197" i="2" s="1"/>
  <c r="AH173" i="2"/>
  <c r="AI173" i="2" s="1"/>
  <c r="AH189" i="2"/>
  <c r="AI189" i="2" s="1"/>
  <c r="AH191" i="2"/>
  <c r="AI191" i="2" s="1"/>
  <c r="AH166" i="2"/>
  <c r="AI166" i="2" s="1"/>
  <c r="AH171" i="2"/>
  <c r="AI171" i="2" s="1"/>
  <c r="AH181" i="2"/>
  <c r="AI181" i="2" s="1"/>
  <c r="AH183" i="2"/>
  <c r="AI183" i="2" s="1"/>
  <c r="AH192" i="2"/>
  <c r="AI192" i="2" s="1"/>
  <c r="AH195" i="2"/>
  <c r="AI195" i="2" s="1"/>
  <c r="AH157" i="2"/>
  <c r="AI157" i="2" s="1"/>
  <c r="AH184" i="2"/>
  <c r="AI184" i="2" s="1"/>
  <c r="AH187" i="2"/>
  <c r="AI187" i="2" s="1"/>
  <c r="AH193" i="2"/>
  <c r="AI193" i="2" s="1"/>
  <c r="AH151" i="2"/>
  <c r="B218" i="2"/>
  <c r="C218" i="2" s="1"/>
  <c r="E217" i="2"/>
  <c r="G217" i="2"/>
  <c r="F217" i="2"/>
  <c r="L217" i="2"/>
  <c r="N91" i="19" s="1"/>
  <c r="M217" i="2"/>
  <c r="R217" i="2"/>
  <c r="J91" i="19" l="1"/>
  <c r="M91" i="19"/>
  <c r="M91" i="1"/>
  <c r="O91" i="19"/>
  <c r="O91" i="1"/>
  <c r="L91" i="19"/>
  <c r="L91" i="1"/>
  <c r="K91" i="19"/>
  <c r="L91" i="14"/>
  <c r="L91" i="15"/>
  <c r="M91" i="14"/>
  <c r="M91" i="15"/>
  <c r="K91" i="14"/>
  <c r="K91" i="15"/>
  <c r="J91" i="14"/>
  <c r="J91" i="15"/>
  <c r="O91" i="14"/>
  <c r="O91" i="15"/>
  <c r="N91" i="14"/>
  <c r="N91" i="15"/>
  <c r="N91" i="1"/>
  <c r="V217" i="2"/>
  <c r="W217" i="2"/>
  <c r="U217" i="2"/>
  <c r="G91" i="19" s="1"/>
  <c r="T217" i="2"/>
  <c r="AA217" i="2" s="1" a="1"/>
  <c r="AA217" i="2" s="1"/>
  <c r="D218" i="2"/>
  <c r="Q217" i="2"/>
  <c r="Z217" i="2" s="1" a="1"/>
  <c r="Z217" i="2" s="1"/>
  <c r="B219" i="2"/>
  <c r="AI151" i="2"/>
  <c r="K218" i="2" l="1"/>
  <c r="J218" i="2"/>
  <c r="I218" i="2"/>
  <c r="K92" i="1" s="1"/>
  <c r="H218" i="2"/>
  <c r="J92" i="1" s="1"/>
  <c r="H91" i="19"/>
  <c r="H91" i="1"/>
  <c r="I91" i="19"/>
  <c r="I91" i="1"/>
  <c r="F92" i="19"/>
  <c r="N218" i="2"/>
  <c r="Y218" i="2" a="1"/>
  <c r="Y218" i="2" s="1"/>
  <c r="F92" i="15"/>
  <c r="F92" i="14"/>
  <c r="I91" i="15"/>
  <c r="I91" i="14"/>
  <c r="G91" i="15"/>
  <c r="G91" i="14"/>
  <c r="H91" i="15"/>
  <c r="H91" i="14"/>
  <c r="X217" i="2"/>
  <c r="G91" i="1"/>
  <c r="S217" i="2"/>
  <c r="F92" i="1"/>
  <c r="O218" i="2"/>
  <c r="P218" i="2"/>
  <c r="AJ151" i="2"/>
  <c r="AJ152" i="2"/>
  <c r="AK152" i="2" s="1"/>
  <c r="AJ154" i="2"/>
  <c r="AK154" i="2" s="1"/>
  <c r="AJ156" i="2"/>
  <c r="AK156" i="2" s="1"/>
  <c r="AJ155" i="2"/>
  <c r="AK155" i="2" s="1"/>
  <c r="AJ158" i="2"/>
  <c r="AK158" i="2" s="1"/>
  <c r="AJ162" i="2"/>
  <c r="AK162" i="2" s="1"/>
  <c r="AJ153" i="2"/>
  <c r="AK153" i="2" s="1"/>
  <c r="AJ161" i="2"/>
  <c r="AK161" i="2" s="1"/>
  <c r="AJ163" i="2"/>
  <c r="AK163" i="2" s="1"/>
  <c r="AJ166" i="2"/>
  <c r="AK166" i="2" s="1"/>
  <c r="AJ170" i="2"/>
  <c r="AK170" i="2" s="1"/>
  <c r="AJ174" i="2"/>
  <c r="AK174" i="2" s="1"/>
  <c r="AJ169" i="2"/>
  <c r="AK169" i="2" s="1"/>
  <c r="AJ178" i="2"/>
  <c r="AK178" i="2" s="1"/>
  <c r="AJ157" i="2"/>
  <c r="AK157" i="2" s="1"/>
  <c r="AJ159" i="2"/>
  <c r="AK159" i="2" s="1"/>
  <c r="AJ164" i="2"/>
  <c r="AK164" i="2" s="1"/>
  <c r="AJ180" i="2"/>
  <c r="AK180" i="2" s="1"/>
  <c r="AJ184" i="2"/>
  <c r="AK184" i="2" s="1"/>
  <c r="AJ188" i="2"/>
  <c r="AK188" i="2" s="1"/>
  <c r="AJ192" i="2"/>
  <c r="AK192" i="2" s="1"/>
  <c r="AJ196" i="2"/>
  <c r="AK196" i="2" s="1"/>
  <c r="AJ160" i="2"/>
  <c r="AK160" i="2" s="1"/>
  <c r="AJ176" i="2"/>
  <c r="AK176" i="2" s="1"/>
  <c r="AJ179" i="2"/>
  <c r="AK179" i="2" s="1"/>
  <c r="AJ187" i="2"/>
  <c r="AK187" i="2" s="1"/>
  <c r="AJ195" i="2"/>
  <c r="AK195" i="2" s="1"/>
  <c r="AJ171" i="2"/>
  <c r="AK171" i="2" s="1"/>
  <c r="AJ177" i="2"/>
  <c r="AK177" i="2" s="1"/>
  <c r="AJ181" i="2"/>
  <c r="AK181" i="2" s="1"/>
  <c r="AJ193" i="2"/>
  <c r="AK193" i="2" s="1"/>
  <c r="AJ168" i="2"/>
  <c r="AK168" i="2" s="1"/>
  <c r="AJ185" i="2"/>
  <c r="AK185" i="2" s="1"/>
  <c r="AJ190" i="2"/>
  <c r="AK190" i="2" s="1"/>
  <c r="AJ165" i="2"/>
  <c r="AK165" i="2" s="1"/>
  <c r="AJ167" i="2"/>
  <c r="AK167" i="2" s="1"/>
  <c r="AJ172" i="2"/>
  <c r="AK172" i="2" s="1"/>
  <c r="AJ173" i="2"/>
  <c r="AK173" i="2" s="1"/>
  <c r="AJ182" i="2"/>
  <c r="AK182" i="2" s="1"/>
  <c r="AJ191" i="2"/>
  <c r="AK191" i="2" s="1"/>
  <c r="AJ194" i="2"/>
  <c r="AK194" i="2" s="1"/>
  <c r="AJ197" i="2"/>
  <c r="AK197" i="2" s="1"/>
  <c r="AJ175" i="2"/>
  <c r="AK175" i="2" s="1"/>
  <c r="AJ183" i="2"/>
  <c r="AK183" i="2" s="1"/>
  <c r="AJ186" i="2"/>
  <c r="AK186" i="2" s="1"/>
  <c r="AJ189" i="2"/>
  <c r="AK189" i="2" s="1"/>
  <c r="E218" i="2"/>
  <c r="G218" i="2"/>
  <c r="F218" i="2"/>
  <c r="M218" i="2"/>
  <c r="R218" i="2"/>
  <c r="L218" i="2"/>
  <c r="N92" i="19" s="1"/>
  <c r="D219" i="2"/>
  <c r="C219" i="2"/>
  <c r="K219" i="2" l="1"/>
  <c r="J219" i="2"/>
  <c r="I219" i="2"/>
  <c r="K93" i="1" s="1"/>
  <c r="H219" i="2"/>
  <c r="J93" i="1" s="1"/>
  <c r="J92" i="19"/>
  <c r="O92" i="19"/>
  <c r="O92" i="1"/>
  <c r="L92" i="19"/>
  <c r="L92" i="1"/>
  <c r="M92" i="19"/>
  <c r="M92" i="1"/>
  <c r="K92" i="19"/>
  <c r="F93" i="19"/>
  <c r="N219" i="2"/>
  <c r="O92" i="14"/>
  <c r="O92" i="15"/>
  <c r="K92" i="15"/>
  <c r="K92" i="14"/>
  <c r="J92" i="15"/>
  <c r="J92" i="14"/>
  <c r="M92" i="14"/>
  <c r="M92" i="15"/>
  <c r="Y219" i="2" a="1"/>
  <c r="Y219" i="2" s="1"/>
  <c r="F93" i="14"/>
  <c r="F93" i="15"/>
  <c r="N92" i="14"/>
  <c r="N92" i="15"/>
  <c r="L92" i="15"/>
  <c r="L92" i="14"/>
  <c r="N92" i="1"/>
  <c r="F93" i="1"/>
  <c r="W218" i="2"/>
  <c r="V218" i="2"/>
  <c r="U218" i="2"/>
  <c r="G92" i="19" s="1"/>
  <c r="T218" i="2"/>
  <c r="AA218" i="2" s="1" a="1"/>
  <c r="AA218" i="2" s="1"/>
  <c r="O219" i="2"/>
  <c r="P219" i="2"/>
  <c r="Q218" i="2"/>
  <c r="Z218" i="2" s="1" a="1"/>
  <c r="Z218" i="2" s="1"/>
  <c r="F219" i="2"/>
  <c r="L219" i="2"/>
  <c r="N93" i="19" s="1"/>
  <c r="M219" i="2"/>
  <c r="G219" i="2"/>
  <c r="E219" i="2"/>
  <c r="R219" i="2"/>
  <c r="B220" i="2"/>
  <c r="AK151" i="2"/>
  <c r="M93" i="19" l="1"/>
  <c r="M93" i="1"/>
  <c r="O93" i="19"/>
  <c r="O93" i="1"/>
  <c r="H92" i="19"/>
  <c r="H92" i="1"/>
  <c r="I92" i="19"/>
  <c r="I92" i="1"/>
  <c r="L93" i="19"/>
  <c r="L93" i="1"/>
  <c r="J93" i="19"/>
  <c r="K93" i="19"/>
  <c r="N93" i="15"/>
  <c r="N93" i="14"/>
  <c r="H92" i="15"/>
  <c r="H92" i="14"/>
  <c r="K93" i="15"/>
  <c r="K93" i="14"/>
  <c r="I92" i="15"/>
  <c r="I92" i="14"/>
  <c r="M93" i="15"/>
  <c r="M93" i="14"/>
  <c r="L93" i="15"/>
  <c r="L93" i="14"/>
  <c r="J93" i="15"/>
  <c r="J93" i="14"/>
  <c r="O93" i="14"/>
  <c r="O93" i="15"/>
  <c r="G92" i="15"/>
  <c r="G92" i="14"/>
  <c r="X218" i="2"/>
  <c r="G92" i="1"/>
  <c r="N93" i="1"/>
  <c r="S218" i="2"/>
  <c r="W219" i="2"/>
  <c r="V219" i="2"/>
  <c r="U219" i="2"/>
  <c r="G93" i="19" s="1"/>
  <c r="T219" i="2"/>
  <c r="AA219" i="2" s="1" a="1"/>
  <c r="AA219" i="2" s="1"/>
  <c r="AL151" i="2"/>
  <c r="AL154" i="2"/>
  <c r="AM154" i="2" s="1"/>
  <c r="AL152" i="2"/>
  <c r="AM152" i="2" s="1"/>
  <c r="AL153" i="2"/>
  <c r="AM153" i="2" s="1"/>
  <c r="AL155" i="2"/>
  <c r="AM155" i="2" s="1"/>
  <c r="AL160" i="2"/>
  <c r="AM160" i="2" s="1"/>
  <c r="AL157" i="2"/>
  <c r="AM157" i="2" s="1"/>
  <c r="AL163" i="2"/>
  <c r="AM163" i="2" s="1"/>
  <c r="AL168" i="2"/>
  <c r="AM168" i="2" s="1"/>
  <c r="AL172" i="2"/>
  <c r="AM172" i="2" s="1"/>
  <c r="AL159" i="2"/>
  <c r="AM159" i="2" s="1"/>
  <c r="AL165" i="2"/>
  <c r="AM165" i="2" s="1"/>
  <c r="AL171" i="2"/>
  <c r="AM171" i="2" s="1"/>
  <c r="AL173" i="2"/>
  <c r="AM173" i="2" s="1"/>
  <c r="AL176" i="2"/>
  <c r="AM176" i="2" s="1"/>
  <c r="AL174" i="2"/>
  <c r="AM174" i="2" s="1"/>
  <c r="AL175" i="2"/>
  <c r="AM175" i="2" s="1"/>
  <c r="AL177" i="2"/>
  <c r="AM177" i="2" s="1"/>
  <c r="AL182" i="2"/>
  <c r="AM182" i="2" s="1"/>
  <c r="AL186" i="2"/>
  <c r="AM186" i="2" s="1"/>
  <c r="AL190" i="2"/>
  <c r="AM190" i="2" s="1"/>
  <c r="AL194" i="2"/>
  <c r="AM194" i="2" s="1"/>
  <c r="AL167" i="2"/>
  <c r="AM167" i="2" s="1"/>
  <c r="AL181" i="2"/>
  <c r="AM181" i="2" s="1"/>
  <c r="AL183" i="2"/>
  <c r="AM183" i="2" s="1"/>
  <c r="AL189" i="2"/>
  <c r="AM189" i="2" s="1"/>
  <c r="AL191" i="2"/>
  <c r="AM191" i="2" s="1"/>
  <c r="AL197" i="2"/>
  <c r="AM197" i="2" s="1"/>
  <c r="AL156" i="2"/>
  <c r="AM156" i="2" s="1"/>
  <c r="AL170" i="2"/>
  <c r="AM170" i="2" s="1"/>
  <c r="AL178" i="2"/>
  <c r="AM178" i="2" s="1"/>
  <c r="AL180" i="2"/>
  <c r="AM180" i="2" s="1"/>
  <c r="AL192" i="2"/>
  <c r="AM192" i="2" s="1"/>
  <c r="AL195" i="2"/>
  <c r="AM195" i="2" s="1"/>
  <c r="AL158" i="2"/>
  <c r="AM158" i="2" s="1"/>
  <c r="AL169" i="2"/>
  <c r="AM169" i="2" s="1"/>
  <c r="AL184" i="2"/>
  <c r="AM184" i="2" s="1"/>
  <c r="AL187" i="2"/>
  <c r="AM187" i="2" s="1"/>
  <c r="AL193" i="2"/>
  <c r="AM193" i="2" s="1"/>
  <c r="AL162" i="2"/>
  <c r="AM162" i="2" s="1"/>
  <c r="AL164" i="2"/>
  <c r="AM164" i="2" s="1"/>
  <c r="AL179" i="2"/>
  <c r="AM179" i="2" s="1"/>
  <c r="AL185" i="2"/>
  <c r="AM185" i="2" s="1"/>
  <c r="AL196" i="2"/>
  <c r="AM196" i="2" s="1"/>
  <c r="AL161" i="2"/>
  <c r="AM161" i="2" s="1"/>
  <c r="AL166" i="2"/>
  <c r="AM166" i="2" s="1"/>
  <c r="AL188" i="2"/>
  <c r="AM188" i="2" s="1"/>
  <c r="Q219" i="2"/>
  <c r="Z219" i="2" s="1" a="1"/>
  <c r="Z219" i="2" s="1"/>
  <c r="C220" i="2"/>
  <c r="D220" i="2"/>
  <c r="J220" i="2" l="1"/>
  <c r="I220" i="2"/>
  <c r="K94" i="1" s="1"/>
  <c r="K220" i="2"/>
  <c r="H220" i="2"/>
  <c r="J94" i="1" s="1"/>
  <c r="I93" i="19"/>
  <c r="I93" i="1"/>
  <c r="H93" i="19"/>
  <c r="H93" i="1"/>
  <c r="F94" i="19"/>
  <c r="N220" i="2"/>
  <c r="Y220" i="2" a="1"/>
  <c r="Y220" i="2" s="1"/>
  <c r="F94" i="14"/>
  <c r="F94" i="15"/>
  <c r="H93" i="15"/>
  <c r="H93" i="14"/>
  <c r="G93" i="15"/>
  <c r="G93" i="14"/>
  <c r="I93" i="15"/>
  <c r="I93" i="14"/>
  <c r="X219" i="2"/>
  <c r="G93" i="1"/>
  <c r="F94" i="1"/>
  <c r="S219" i="2"/>
  <c r="O220" i="2"/>
  <c r="P220" i="2"/>
  <c r="R220" i="2"/>
  <c r="B221" i="2"/>
  <c r="AM151" i="2"/>
  <c r="L220" i="2"/>
  <c r="N94" i="19" s="1"/>
  <c r="G220" i="2"/>
  <c r="M220" i="2"/>
  <c r="E220" i="2"/>
  <c r="F220" i="2"/>
  <c r="M94" i="19" l="1"/>
  <c r="M94" i="1"/>
  <c r="O94" i="19"/>
  <c r="O94" i="1"/>
  <c r="L94" i="19"/>
  <c r="L94" i="1"/>
  <c r="J94" i="19"/>
  <c r="K94" i="19"/>
  <c r="K94" i="15"/>
  <c r="K94" i="14"/>
  <c r="L94" i="15"/>
  <c r="L94" i="14"/>
  <c r="M94" i="15"/>
  <c r="M94" i="14"/>
  <c r="O94" i="15"/>
  <c r="O94" i="14"/>
  <c r="J94" i="15"/>
  <c r="J94" i="14"/>
  <c r="N94" i="15"/>
  <c r="N94" i="14"/>
  <c r="N94" i="1"/>
  <c r="U220" i="2"/>
  <c r="G94" i="19" s="1"/>
  <c r="W220" i="2"/>
  <c r="V220" i="2"/>
  <c r="T220" i="2"/>
  <c r="AA220" i="2" s="1" a="1"/>
  <c r="AA220" i="2" s="1"/>
  <c r="AN152" i="2"/>
  <c r="AO152" i="2" s="1"/>
  <c r="AN155" i="2"/>
  <c r="AO155" i="2" s="1"/>
  <c r="AN156" i="2"/>
  <c r="AO156" i="2" s="1"/>
  <c r="AN157" i="2"/>
  <c r="AO157" i="2" s="1"/>
  <c r="AN158" i="2"/>
  <c r="AO158" i="2" s="1"/>
  <c r="AN162" i="2"/>
  <c r="AO162" i="2" s="1"/>
  <c r="AN159" i="2"/>
  <c r="AO159" i="2" s="1"/>
  <c r="AN164" i="2"/>
  <c r="AO164" i="2" s="1"/>
  <c r="AN166" i="2"/>
  <c r="AO166" i="2" s="1"/>
  <c r="AN170" i="2"/>
  <c r="AO170" i="2" s="1"/>
  <c r="AN174" i="2"/>
  <c r="AO174" i="2" s="1"/>
  <c r="AN153" i="2"/>
  <c r="AO153" i="2" s="1"/>
  <c r="AN161" i="2"/>
  <c r="AO161" i="2" s="1"/>
  <c r="AN167" i="2"/>
  <c r="AO167" i="2" s="1"/>
  <c r="AN172" i="2"/>
  <c r="AO172" i="2" s="1"/>
  <c r="AN178" i="2"/>
  <c r="AO178" i="2" s="1"/>
  <c r="AN173" i="2"/>
  <c r="AO173" i="2" s="1"/>
  <c r="AN176" i="2"/>
  <c r="AO176" i="2" s="1"/>
  <c r="AN180" i="2"/>
  <c r="AO180" i="2" s="1"/>
  <c r="AN184" i="2"/>
  <c r="AO184" i="2" s="1"/>
  <c r="AN188" i="2"/>
  <c r="AO188" i="2" s="1"/>
  <c r="AN192" i="2"/>
  <c r="AO192" i="2" s="1"/>
  <c r="AN196" i="2"/>
  <c r="AO196" i="2" s="1"/>
  <c r="AN169" i="2"/>
  <c r="AO169" i="2" s="1"/>
  <c r="AN175" i="2"/>
  <c r="AO175" i="2" s="1"/>
  <c r="AN182" i="2"/>
  <c r="AO182" i="2" s="1"/>
  <c r="AN185" i="2"/>
  <c r="AO185" i="2" s="1"/>
  <c r="AN190" i="2"/>
  <c r="AO190" i="2" s="1"/>
  <c r="AN193" i="2"/>
  <c r="AO193" i="2" s="1"/>
  <c r="AN160" i="2"/>
  <c r="AO160" i="2" s="1"/>
  <c r="AN163" i="2"/>
  <c r="AO163" i="2" s="1"/>
  <c r="AN177" i="2"/>
  <c r="AO177" i="2" s="1"/>
  <c r="AN191" i="2"/>
  <c r="AO191" i="2" s="1"/>
  <c r="AN194" i="2"/>
  <c r="AO194" i="2" s="1"/>
  <c r="AN197" i="2"/>
  <c r="AO197" i="2" s="1"/>
  <c r="AN183" i="2"/>
  <c r="AO183" i="2" s="1"/>
  <c r="AN186" i="2"/>
  <c r="AO186" i="2" s="1"/>
  <c r="AN189" i="2"/>
  <c r="AO189" i="2" s="1"/>
  <c r="AN195" i="2"/>
  <c r="AO195" i="2" s="1"/>
  <c r="AN168" i="2"/>
  <c r="AO168" i="2" s="1"/>
  <c r="AN181" i="2"/>
  <c r="AO181" i="2" s="1"/>
  <c r="AN187" i="2"/>
  <c r="AO187" i="2" s="1"/>
  <c r="AN154" i="2"/>
  <c r="AO154" i="2" s="1"/>
  <c r="AN165" i="2"/>
  <c r="AO165" i="2" s="1"/>
  <c r="AN171" i="2"/>
  <c r="AO171" i="2" s="1"/>
  <c r="AN179" i="2"/>
  <c r="AO179" i="2" s="1"/>
  <c r="AN147" i="2"/>
  <c r="AN151" i="2"/>
  <c r="Q220" i="2"/>
  <c r="Z220" i="2" s="1" a="1"/>
  <c r="Z220" i="2" s="1"/>
  <c r="C221" i="2"/>
  <c r="D221" i="2"/>
  <c r="J221" i="2" l="1"/>
  <c r="I221" i="2"/>
  <c r="H221" i="2"/>
  <c r="J95" i="1" s="1"/>
  <c r="K221" i="2"/>
  <c r="I94" i="19"/>
  <c r="I94" i="1"/>
  <c r="H94" i="19"/>
  <c r="H94" i="1"/>
  <c r="F95" i="19"/>
  <c r="N221" i="2"/>
  <c r="Y221" i="2" a="1"/>
  <c r="Y221" i="2" s="1"/>
  <c r="F95" i="15"/>
  <c r="F95" i="14"/>
  <c r="H94" i="14"/>
  <c r="H94" i="15"/>
  <c r="I94" i="15"/>
  <c r="I94" i="14"/>
  <c r="G94" i="14"/>
  <c r="G94" i="15"/>
  <c r="X220" i="2"/>
  <c r="G94" i="1"/>
  <c r="S220" i="2"/>
  <c r="F95" i="1"/>
  <c r="O221" i="2"/>
  <c r="P221" i="2"/>
  <c r="B222" i="2"/>
  <c r="AO151" i="2"/>
  <c r="L221" i="2"/>
  <c r="N95" i="19" s="1"/>
  <c r="E221" i="2"/>
  <c r="F221" i="2"/>
  <c r="M221" i="2"/>
  <c r="G221" i="2"/>
  <c r="R221" i="2"/>
  <c r="K95" i="19" l="1"/>
  <c r="K95" i="1"/>
  <c r="J95" i="19"/>
  <c r="O95" i="19"/>
  <c r="O95" i="1"/>
  <c r="L95" i="19"/>
  <c r="L95" i="1"/>
  <c r="M95" i="19"/>
  <c r="M95" i="1"/>
  <c r="N95" i="15"/>
  <c r="N95" i="14"/>
  <c r="M95" i="15"/>
  <c r="M95" i="14"/>
  <c r="K95" i="15"/>
  <c r="K95" i="14"/>
  <c r="L95" i="15"/>
  <c r="L95" i="14"/>
  <c r="J95" i="14"/>
  <c r="J95" i="15"/>
  <c r="O95" i="15"/>
  <c r="O95" i="14"/>
  <c r="N95" i="1"/>
  <c r="W221" i="2"/>
  <c r="V221" i="2"/>
  <c r="U221" i="2"/>
  <c r="G95" i="19" s="1"/>
  <c r="T221" i="2"/>
  <c r="AA221" i="2" s="1" a="1"/>
  <c r="AA221" i="2" s="1"/>
  <c r="AP151" i="2"/>
  <c r="AP154" i="2"/>
  <c r="AQ154" i="2" s="1"/>
  <c r="AP153" i="2"/>
  <c r="AQ153" i="2" s="1"/>
  <c r="AP155" i="2"/>
  <c r="AQ155" i="2" s="1"/>
  <c r="AP152" i="2"/>
  <c r="AQ152" i="2" s="1"/>
  <c r="AP156" i="2"/>
  <c r="AQ156" i="2" s="1"/>
  <c r="AP160" i="2"/>
  <c r="AQ160" i="2" s="1"/>
  <c r="AP158" i="2"/>
  <c r="AQ158" i="2" s="1"/>
  <c r="AP163" i="2"/>
  <c r="AQ163" i="2" s="1"/>
  <c r="AP157" i="2"/>
  <c r="AQ157" i="2" s="1"/>
  <c r="AP159" i="2"/>
  <c r="AQ159" i="2" s="1"/>
  <c r="AP168" i="2"/>
  <c r="AQ168" i="2" s="1"/>
  <c r="AP172" i="2"/>
  <c r="AQ172" i="2" s="1"/>
  <c r="AP166" i="2"/>
  <c r="AQ166" i="2" s="1"/>
  <c r="AP174" i="2"/>
  <c r="AQ174" i="2" s="1"/>
  <c r="AP176" i="2"/>
  <c r="AQ176" i="2" s="1"/>
  <c r="AP167" i="2"/>
  <c r="AQ167" i="2" s="1"/>
  <c r="AP178" i="2"/>
  <c r="AQ178" i="2" s="1"/>
  <c r="AP182" i="2"/>
  <c r="AQ182" i="2" s="1"/>
  <c r="AP186" i="2"/>
  <c r="AQ186" i="2" s="1"/>
  <c r="AP190" i="2"/>
  <c r="AQ190" i="2" s="1"/>
  <c r="AP194" i="2"/>
  <c r="AQ194" i="2" s="1"/>
  <c r="AP162" i="2"/>
  <c r="AQ162" i="2" s="1"/>
  <c r="AP184" i="2"/>
  <c r="AQ184" i="2" s="1"/>
  <c r="AP192" i="2"/>
  <c r="AQ192" i="2" s="1"/>
  <c r="AP165" i="2"/>
  <c r="AQ165" i="2" s="1"/>
  <c r="AP169" i="2"/>
  <c r="AQ169" i="2" s="1"/>
  <c r="AP175" i="2"/>
  <c r="AQ175" i="2" s="1"/>
  <c r="AP177" i="2"/>
  <c r="AQ177" i="2" s="1"/>
  <c r="AP161" i="2"/>
  <c r="AQ161" i="2" s="1"/>
  <c r="AP171" i="2"/>
  <c r="AQ171" i="2" s="1"/>
  <c r="AP179" i="2"/>
  <c r="AQ179" i="2" s="1"/>
  <c r="AP185" i="2"/>
  <c r="AQ185" i="2" s="1"/>
  <c r="AP196" i="2"/>
  <c r="AQ196" i="2" s="1"/>
  <c r="AP170" i="2"/>
  <c r="AQ170" i="2" s="1"/>
  <c r="AP188" i="2"/>
  <c r="AQ188" i="2" s="1"/>
  <c r="AP197" i="2"/>
  <c r="AQ197" i="2" s="1"/>
  <c r="AP180" i="2"/>
  <c r="AQ180" i="2" s="1"/>
  <c r="AP189" i="2"/>
  <c r="AQ189" i="2" s="1"/>
  <c r="AP191" i="2"/>
  <c r="AQ191" i="2" s="1"/>
  <c r="AP195" i="2"/>
  <c r="AQ195" i="2" s="1"/>
  <c r="AP164" i="2"/>
  <c r="AQ164" i="2" s="1"/>
  <c r="AP173" i="2"/>
  <c r="AQ173" i="2" s="1"/>
  <c r="AP181" i="2"/>
  <c r="AQ181" i="2" s="1"/>
  <c r="AP183" i="2"/>
  <c r="AQ183" i="2" s="1"/>
  <c r="AP187" i="2"/>
  <c r="AQ187" i="2" s="1"/>
  <c r="AP193" i="2"/>
  <c r="AQ193" i="2" s="1"/>
  <c r="Q221" i="2"/>
  <c r="Z221" i="2" s="1" a="1"/>
  <c r="Z221" i="2" s="1"/>
  <c r="D222" i="2"/>
  <c r="C222" i="2"/>
  <c r="J222" i="2" l="1"/>
  <c r="I222" i="2"/>
  <c r="K222" i="2"/>
  <c r="H222" i="2"/>
  <c r="J96" i="1" s="1"/>
  <c r="I95" i="19"/>
  <c r="I95" i="1"/>
  <c r="H95" i="19"/>
  <c r="H95" i="1"/>
  <c r="F96" i="19"/>
  <c r="N222" i="2"/>
  <c r="G95" i="14"/>
  <c r="G95" i="15"/>
  <c r="I95" i="14"/>
  <c r="I95" i="15"/>
  <c r="Y222" i="2" a="1"/>
  <c r="Y222" i="2" s="1"/>
  <c r="F96" i="15"/>
  <c r="F96" i="14"/>
  <c r="H95" i="14"/>
  <c r="H95" i="15"/>
  <c r="X221" i="2"/>
  <c r="G95" i="1"/>
  <c r="F96" i="1"/>
  <c r="S221" i="2"/>
  <c r="O222" i="2"/>
  <c r="P222" i="2"/>
  <c r="AQ151" i="2"/>
  <c r="B223" i="2"/>
  <c r="L222" i="2"/>
  <c r="N96" i="19" s="1"/>
  <c r="M222" i="2"/>
  <c r="E222" i="2"/>
  <c r="F222" i="2"/>
  <c r="G222" i="2"/>
  <c r="R222" i="2"/>
  <c r="J96" i="19" l="1"/>
  <c r="K96" i="19"/>
  <c r="K96" i="1"/>
  <c r="M96" i="19"/>
  <c r="M96" i="1"/>
  <c r="O96" i="19"/>
  <c r="O96" i="1"/>
  <c r="L96" i="19"/>
  <c r="L96" i="1"/>
  <c r="L96" i="14"/>
  <c r="L96" i="15"/>
  <c r="M96" i="15"/>
  <c r="M96" i="14"/>
  <c r="K96" i="14"/>
  <c r="K96" i="15"/>
  <c r="J96" i="14"/>
  <c r="J96" i="15"/>
  <c r="O96" i="15"/>
  <c r="O96" i="14"/>
  <c r="N96" i="15"/>
  <c r="N96" i="14"/>
  <c r="N96" i="1"/>
  <c r="V222" i="2"/>
  <c r="W222" i="2"/>
  <c r="U222" i="2"/>
  <c r="G96" i="19" s="1"/>
  <c r="T222" i="2"/>
  <c r="AA222" i="2" s="1" a="1"/>
  <c r="AA222" i="2" s="1"/>
  <c r="AR151" i="2"/>
  <c r="AR152" i="2"/>
  <c r="AS152" i="2" s="1"/>
  <c r="AR153" i="2"/>
  <c r="AS153" i="2" s="1"/>
  <c r="AR156" i="2"/>
  <c r="AS156" i="2" s="1"/>
  <c r="AR158" i="2"/>
  <c r="AS158" i="2" s="1"/>
  <c r="AR162" i="2"/>
  <c r="AS162" i="2" s="1"/>
  <c r="AR155" i="2"/>
  <c r="AS155" i="2" s="1"/>
  <c r="AR157" i="2"/>
  <c r="AS157" i="2" s="1"/>
  <c r="AR161" i="2"/>
  <c r="AS161" i="2" s="1"/>
  <c r="AR166" i="2"/>
  <c r="AS166" i="2" s="1"/>
  <c r="AR170" i="2"/>
  <c r="AS170" i="2" s="1"/>
  <c r="AR174" i="2"/>
  <c r="AS174" i="2" s="1"/>
  <c r="AR163" i="2"/>
  <c r="AS163" i="2" s="1"/>
  <c r="AR165" i="2"/>
  <c r="AS165" i="2" s="1"/>
  <c r="AR173" i="2"/>
  <c r="AS173" i="2" s="1"/>
  <c r="AR178" i="2"/>
  <c r="AS178" i="2" s="1"/>
  <c r="AR154" i="2"/>
  <c r="AS154" i="2" s="1"/>
  <c r="AR164" i="2"/>
  <c r="AS164" i="2" s="1"/>
  <c r="AR169" i="2"/>
  <c r="AS169" i="2" s="1"/>
  <c r="AR177" i="2"/>
  <c r="AS177" i="2" s="1"/>
  <c r="AR180" i="2"/>
  <c r="AS180" i="2" s="1"/>
  <c r="AR184" i="2"/>
  <c r="AS184" i="2" s="1"/>
  <c r="AR188" i="2"/>
  <c r="AS188" i="2" s="1"/>
  <c r="AR192" i="2"/>
  <c r="AS192" i="2" s="1"/>
  <c r="AR196" i="2"/>
  <c r="AS196" i="2" s="1"/>
  <c r="AR171" i="2"/>
  <c r="AS171" i="2" s="1"/>
  <c r="AR183" i="2"/>
  <c r="AS183" i="2" s="1"/>
  <c r="AR191" i="2"/>
  <c r="AS191" i="2" s="1"/>
  <c r="AR159" i="2"/>
  <c r="AS159" i="2" s="1"/>
  <c r="AR168" i="2"/>
  <c r="AS168" i="2" s="1"/>
  <c r="AR176" i="2"/>
  <c r="AS176" i="2" s="1"/>
  <c r="AR160" i="2"/>
  <c r="AS160" i="2" s="1"/>
  <c r="AR167" i="2"/>
  <c r="AS167" i="2" s="1"/>
  <c r="AR172" i="2"/>
  <c r="AS172" i="2" s="1"/>
  <c r="AR181" i="2"/>
  <c r="AS181" i="2" s="1"/>
  <c r="AR187" i="2"/>
  <c r="AS187" i="2" s="1"/>
  <c r="AR175" i="2"/>
  <c r="AS175" i="2" s="1"/>
  <c r="AR179" i="2"/>
  <c r="AS179" i="2" s="1"/>
  <c r="AR193" i="2"/>
  <c r="AS193" i="2" s="1"/>
  <c r="AR185" i="2"/>
  <c r="AS185" i="2" s="1"/>
  <c r="AR190" i="2"/>
  <c r="AS190" i="2" s="1"/>
  <c r="AR194" i="2"/>
  <c r="AS194" i="2" s="1"/>
  <c r="AR197" i="2"/>
  <c r="AS197" i="2" s="1"/>
  <c r="AR182" i="2"/>
  <c r="AS182" i="2" s="1"/>
  <c r="AR186" i="2"/>
  <c r="AS186" i="2" s="1"/>
  <c r="AR189" i="2"/>
  <c r="AS189" i="2" s="1"/>
  <c r="AR195" i="2"/>
  <c r="AS195" i="2" s="1"/>
  <c r="Q222" i="2"/>
  <c r="Z222" i="2" s="1" a="1"/>
  <c r="Z222" i="2" s="1"/>
  <c r="C223" i="2"/>
  <c r="D223" i="2"/>
  <c r="J223" i="2" l="1"/>
  <c r="I223" i="2"/>
  <c r="K223" i="2"/>
  <c r="H223" i="2"/>
  <c r="J97" i="1" s="1"/>
  <c r="H96" i="19"/>
  <c r="H96" i="1"/>
  <c r="I96" i="19"/>
  <c r="I96" i="1"/>
  <c r="F97" i="19"/>
  <c r="N223" i="2"/>
  <c r="G96" i="15"/>
  <c r="G96" i="14"/>
  <c r="Y223" i="2" a="1"/>
  <c r="Y223" i="2" s="1"/>
  <c r="F97" i="15"/>
  <c r="F97" i="14"/>
  <c r="H96" i="14"/>
  <c r="H96" i="15"/>
  <c r="I96" i="14"/>
  <c r="I96" i="15"/>
  <c r="X222" i="2"/>
  <c r="G96" i="1"/>
  <c r="F97" i="1"/>
  <c r="S222" i="2"/>
  <c r="P223" i="2"/>
  <c r="O223" i="2"/>
  <c r="R223" i="2"/>
  <c r="B224" i="2"/>
  <c r="AS151" i="2"/>
  <c r="M223" i="2"/>
  <c r="F223" i="2"/>
  <c r="G223" i="2"/>
  <c r="E223" i="2"/>
  <c r="L223" i="2"/>
  <c r="N97" i="19" s="1"/>
  <c r="M97" i="19" l="1"/>
  <c r="M97" i="1"/>
  <c r="J97" i="19"/>
  <c r="O97" i="19"/>
  <c r="O97" i="1"/>
  <c r="L97" i="19"/>
  <c r="L97" i="1"/>
  <c r="K97" i="19"/>
  <c r="K97" i="1"/>
  <c r="L97" i="14"/>
  <c r="L97" i="15"/>
  <c r="K97" i="14"/>
  <c r="K97" i="15"/>
  <c r="M97" i="14"/>
  <c r="M97" i="15"/>
  <c r="N97" i="14"/>
  <c r="N97" i="15"/>
  <c r="O97" i="15"/>
  <c r="O97" i="14"/>
  <c r="J97" i="14"/>
  <c r="J97" i="15"/>
  <c r="N97" i="1"/>
  <c r="W223" i="2"/>
  <c r="V223" i="2"/>
  <c r="U223" i="2"/>
  <c r="G97" i="19" s="1"/>
  <c r="T223" i="2"/>
  <c r="AA223" i="2" s="1" a="1"/>
  <c r="AA223" i="2" s="1"/>
  <c r="AT151" i="2"/>
  <c r="AT154" i="2"/>
  <c r="AU154" i="2" s="1"/>
  <c r="AT152" i="2"/>
  <c r="AU152" i="2" s="1"/>
  <c r="AT156" i="2"/>
  <c r="AU156" i="2" s="1"/>
  <c r="AT157" i="2"/>
  <c r="AU157" i="2" s="1"/>
  <c r="AT160" i="2"/>
  <c r="AU160" i="2" s="1"/>
  <c r="AT159" i="2"/>
  <c r="AU159" i="2" s="1"/>
  <c r="AT161" i="2"/>
  <c r="AU161" i="2" s="1"/>
  <c r="AT163" i="2"/>
  <c r="AU163" i="2" s="1"/>
  <c r="AT155" i="2"/>
  <c r="AU155" i="2" s="1"/>
  <c r="AT168" i="2"/>
  <c r="AU168" i="2" s="1"/>
  <c r="AT172" i="2"/>
  <c r="AU172" i="2" s="1"/>
  <c r="AT162" i="2"/>
  <c r="AU162" i="2" s="1"/>
  <c r="AT167" i="2"/>
  <c r="AU167" i="2" s="1"/>
  <c r="AT169" i="2"/>
  <c r="AU169" i="2" s="1"/>
  <c r="AT176" i="2"/>
  <c r="AU176" i="2" s="1"/>
  <c r="AT158" i="2"/>
  <c r="AU158" i="2" s="1"/>
  <c r="AT171" i="2"/>
  <c r="AU171" i="2" s="1"/>
  <c r="AT173" i="2"/>
  <c r="AU173" i="2" s="1"/>
  <c r="AT182" i="2"/>
  <c r="AU182" i="2" s="1"/>
  <c r="AT186" i="2"/>
  <c r="AU186" i="2" s="1"/>
  <c r="AT190" i="2"/>
  <c r="AU190" i="2" s="1"/>
  <c r="AT194" i="2"/>
  <c r="AU194" i="2" s="1"/>
  <c r="AT153" i="2"/>
  <c r="AU153" i="2" s="1"/>
  <c r="AT164" i="2"/>
  <c r="AU164" i="2" s="1"/>
  <c r="AT170" i="2"/>
  <c r="AU170" i="2" s="1"/>
  <c r="AT178" i="2"/>
  <c r="AU178" i="2" s="1"/>
  <c r="AT179" i="2"/>
  <c r="AU179" i="2" s="1"/>
  <c r="AT185" i="2"/>
  <c r="AU185" i="2" s="1"/>
  <c r="AT187" i="2"/>
  <c r="AU187" i="2" s="1"/>
  <c r="AT193" i="2"/>
  <c r="AU193" i="2" s="1"/>
  <c r="AT195" i="2"/>
  <c r="AU195" i="2" s="1"/>
  <c r="AT174" i="2"/>
  <c r="AU174" i="2" s="1"/>
  <c r="AT165" i="2"/>
  <c r="AU165" i="2" s="1"/>
  <c r="AT180" i="2"/>
  <c r="AU180" i="2" s="1"/>
  <c r="AT189" i="2"/>
  <c r="AU189" i="2" s="1"/>
  <c r="AT191" i="2"/>
  <c r="AU191" i="2" s="1"/>
  <c r="AT166" i="2"/>
  <c r="AU166" i="2" s="1"/>
  <c r="AT181" i="2"/>
  <c r="AU181" i="2" s="1"/>
  <c r="AT183" i="2"/>
  <c r="AU183" i="2" s="1"/>
  <c r="AT192" i="2"/>
  <c r="AU192" i="2" s="1"/>
  <c r="AT175" i="2"/>
  <c r="AU175" i="2" s="1"/>
  <c r="AT177" i="2"/>
  <c r="AU177" i="2" s="1"/>
  <c r="AT184" i="2"/>
  <c r="AU184" i="2" s="1"/>
  <c r="AT196" i="2"/>
  <c r="AU196" i="2" s="1"/>
  <c r="AT188" i="2"/>
  <c r="AU188" i="2" s="1"/>
  <c r="AT197" i="2"/>
  <c r="AU197" i="2" s="1"/>
  <c r="Q223" i="2"/>
  <c r="Z223" i="2" s="1" a="1"/>
  <c r="Z223" i="2" s="1"/>
  <c r="D224" i="2"/>
  <c r="C224" i="2"/>
  <c r="H224" i="2" l="1"/>
  <c r="J98" i="1" s="1"/>
  <c r="K224" i="2"/>
  <c r="I224" i="2"/>
  <c r="J224" i="2"/>
  <c r="I97" i="19"/>
  <c r="I97" i="1"/>
  <c r="H97" i="19"/>
  <c r="H97" i="1"/>
  <c r="F98" i="19"/>
  <c r="N224" i="2"/>
  <c r="Y224" i="2" a="1"/>
  <c r="Y224" i="2" s="1"/>
  <c r="F98" i="15"/>
  <c r="F98" i="14"/>
  <c r="G97" i="15"/>
  <c r="G97" i="14"/>
  <c r="H97" i="15"/>
  <c r="H97" i="14"/>
  <c r="I97" i="15"/>
  <c r="I97" i="14"/>
  <c r="X223" i="2"/>
  <c r="G97" i="1"/>
  <c r="F98" i="1"/>
  <c r="S223" i="2"/>
  <c r="O224" i="2"/>
  <c r="P224" i="2"/>
  <c r="B225" i="2"/>
  <c r="AU151" i="2"/>
  <c r="L224" i="2"/>
  <c r="N98" i="19" s="1"/>
  <c r="G224" i="2"/>
  <c r="E224" i="2"/>
  <c r="M224" i="2"/>
  <c r="F224" i="2"/>
  <c r="R224" i="2"/>
  <c r="K98" i="19" l="1"/>
  <c r="K98" i="1"/>
  <c r="O98" i="19"/>
  <c r="O98" i="1"/>
  <c r="L98" i="19"/>
  <c r="L98" i="1"/>
  <c r="J98" i="19"/>
  <c r="M98" i="19"/>
  <c r="M98" i="1"/>
  <c r="L98" i="14"/>
  <c r="L98" i="15"/>
  <c r="M98" i="14"/>
  <c r="M98" i="15"/>
  <c r="K98" i="15"/>
  <c r="K98" i="14"/>
  <c r="J98" i="15"/>
  <c r="J98" i="14"/>
  <c r="O98" i="14"/>
  <c r="O98" i="15"/>
  <c r="N98" i="14"/>
  <c r="N98" i="15"/>
  <c r="N98" i="1"/>
  <c r="V224" i="2"/>
  <c r="W224" i="2"/>
  <c r="U224" i="2"/>
  <c r="G98" i="19" s="1"/>
  <c r="T224" i="2"/>
  <c r="AA224" i="2" s="1" a="1"/>
  <c r="AA224" i="2" s="1"/>
  <c r="AV151" i="2"/>
  <c r="AV152" i="2"/>
  <c r="AW152" i="2" s="1"/>
  <c r="AV156" i="2"/>
  <c r="AW156" i="2" s="1"/>
  <c r="AV153" i="2"/>
  <c r="AW153" i="2" s="1"/>
  <c r="AV155" i="2"/>
  <c r="AW155" i="2" s="1"/>
  <c r="AV158" i="2"/>
  <c r="AW158" i="2" s="1"/>
  <c r="AV162" i="2"/>
  <c r="AW162" i="2" s="1"/>
  <c r="AV154" i="2"/>
  <c r="AW154" i="2" s="1"/>
  <c r="AV160" i="2"/>
  <c r="AW160" i="2" s="1"/>
  <c r="AV159" i="2"/>
  <c r="AW159" i="2" s="1"/>
  <c r="AV166" i="2"/>
  <c r="AW166" i="2" s="1"/>
  <c r="AV170" i="2"/>
  <c r="AW170" i="2" s="1"/>
  <c r="AV174" i="2"/>
  <c r="AW174" i="2" s="1"/>
  <c r="AV164" i="2"/>
  <c r="AW164" i="2" s="1"/>
  <c r="AV168" i="2"/>
  <c r="AW168" i="2" s="1"/>
  <c r="AV171" i="2"/>
  <c r="AW171" i="2" s="1"/>
  <c r="AV178" i="2"/>
  <c r="AW178" i="2" s="1"/>
  <c r="AV163" i="2"/>
  <c r="AW163" i="2" s="1"/>
  <c r="AV167" i="2"/>
  <c r="AW167" i="2" s="1"/>
  <c r="AV172" i="2"/>
  <c r="AW172" i="2" s="1"/>
  <c r="AV175" i="2"/>
  <c r="AW175" i="2" s="1"/>
  <c r="AV180" i="2"/>
  <c r="AW180" i="2" s="1"/>
  <c r="AV184" i="2"/>
  <c r="AW184" i="2" s="1"/>
  <c r="AV188" i="2"/>
  <c r="AW188" i="2" s="1"/>
  <c r="AV192" i="2"/>
  <c r="AW192" i="2" s="1"/>
  <c r="AV196" i="2"/>
  <c r="AW196" i="2" s="1"/>
  <c r="AV161" i="2"/>
  <c r="AW161" i="2" s="1"/>
  <c r="AV173" i="2"/>
  <c r="AW173" i="2" s="1"/>
  <c r="AV177" i="2"/>
  <c r="AW177" i="2" s="1"/>
  <c r="AV181" i="2"/>
  <c r="AW181" i="2" s="1"/>
  <c r="AV186" i="2"/>
  <c r="AW186" i="2" s="1"/>
  <c r="AV189" i="2"/>
  <c r="AW189" i="2" s="1"/>
  <c r="AV194" i="2"/>
  <c r="AW194" i="2" s="1"/>
  <c r="AV197" i="2"/>
  <c r="AW197" i="2" s="1"/>
  <c r="AV157" i="2"/>
  <c r="AW157" i="2" s="1"/>
  <c r="AV185" i="2"/>
  <c r="AW185" i="2" s="1"/>
  <c r="AV190" i="2"/>
  <c r="AW190" i="2" s="1"/>
  <c r="AV165" i="2"/>
  <c r="AW165" i="2" s="1"/>
  <c r="AV182" i="2"/>
  <c r="AW182" i="2" s="1"/>
  <c r="AV191" i="2"/>
  <c r="AW191" i="2" s="1"/>
  <c r="AV195" i="2"/>
  <c r="AW195" i="2" s="1"/>
  <c r="AV176" i="2"/>
  <c r="AW176" i="2" s="1"/>
  <c r="AV183" i="2"/>
  <c r="AW183" i="2" s="1"/>
  <c r="AV187" i="2"/>
  <c r="AW187" i="2" s="1"/>
  <c r="AV169" i="2"/>
  <c r="AW169" i="2" s="1"/>
  <c r="AV179" i="2"/>
  <c r="AW179" i="2" s="1"/>
  <c r="AV193" i="2"/>
  <c r="AW193" i="2" s="1"/>
  <c r="Q224" i="2"/>
  <c r="Z224" i="2" s="1" a="1"/>
  <c r="Z224" i="2" s="1"/>
  <c r="C225" i="2"/>
  <c r="D225" i="2"/>
  <c r="H225" i="2" l="1"/>
  <c r="J99" i="1" s="1"/>
  <c r="J225" i="2"/>
  <c r="I225" i="2"/>
  <c r="K225" i="2"/>
  <c r="H98" i="19"/>
  <c r="H98" i="1"/>
  <c r="I98" i="19"/>
  <c r="I98" i="1"/>
  <c r="F99" i="19"/>
  <c r="N225" i="2"/>
  <c r="G98" i="15"/>
  <c r="G98" i="14"/>
  <c r="Y225" i="2" a="1"/>
  <c r="Y225" i="2" s="1"/>
  <c r="F99" i="14"/>
  <c r="F99" i="15"/>
  <c r="I98" i="15"/>
  <c r="I98" i="14"/>
  <c r="H98" i="15"/>
  <c r="H98" i="14"/>
  <c r="X224" i="2"/>
  <c r="G98" i="1"/>
  <c r="S224" i="2"/>
  <c r="F99" i="1"/>
  <c r="O225" i="2"/>
  <c r="P225" i="2"/>
  <c r="E225" i="2"/>
  <c r="M225" i="2"/>
  <c r="L225" i="2"/>
  <c r="N99" i="19" s="1"/>
  <c r="G225" i="2"/>
  <c r="F225" i="2"/>
  <c r="B226" i="2"/>
  <c r="AW151" i="2"/>
  <c r="R225" i="2"/>
  <c r="M99" i="19" l="1"/>
  <c r="M99" i="1"/>
  <c r="O99" i="19"/>
  <c r="O99" i="1"/>
  <c r="J99" i="19"/>
  <c r="K99" i="19"/>
  <c r="K99" i="1"/>
  <c r="L99" i="19"/>
  <c r="L99" i="1"/>
  <c r="K99" i="15"/>
  <c r="K99" i="14"/>
  <c r="J99" i="15"/>
  <c r="J99" i="14"/>
  <c r="M99" i="15"/>
  <c r="M99" i="14"/>
  <c r="O99" i="14"/>
  <c r="O99" i="15"/>
  <c r="L99" i="15"/>
  <c r="L99" i="14"/>
  <c r="N99" i="14"/>
  <c r="N99" i="15"/>
  <c r="N99" i="1"/>
  <c r="V225" i="2"/>
  <c r="W225" i="2"/>
  <c r="U225" i="2"/>
  <c r="G99" i="19" s="1"/>
  <c r="T225" i="2"/>
  <c r="AA225" i="2" s="1" a="1"/>
  <c r="AA225" i="2" s="1"/>
  <c r="AX151" i="2"/>
  <c r="AX154" i="2"/>
  <c r="AY154" i="2" s="1"/>
  <c r="AX153" i="2"/>
  <c r="AY153" i="2" s="1"/>
  <c r="AX155" i="2"/>
  <c r="AY155" i="2" s="1"/>
  <c r="AX152" i="2"/>
  <c r="AY152" i="2" s="1"/>
  <c r="AX160" i="2"/>
  <c r="AY160" i="2" s="1"/>
  <c r="AX162" i="2"/>
  <c r="AY162" i="2" s="1"/>
  <c r="AX163" i="2"/>
  <c r="AY163" i="2" s="1"/>
  <c r="AX157" i="2"/>
  <c r="AY157" i="2" s="1"/>
  <c r="AX158" i="2"/>
  <c r="AY158" i="2" s="1"/>
  <c r="AX161" i="2"/>
  <c r="AY161" i="2" s="1"/>
  <c r="AX164" i="2"/>
  <c r="AY164" i="2" s="1"/>
  <c r="AX168" i="2"/>
  <c r="AY168" i="2" s="1"/>
  <c r="AX172" i="2"/>
  <c r="AY172" i="2" s="1"/>
  <c r="AX170" i="2"/>
  <c r="AY170" i="2" s="1"/>
  <c r="AX176" i="2"/>
  <c r="AY176" i="2" s="1"/>
  <c r="AX159" i="2"/>
  <c r="AY159" i="2" s="1"/>
  <c r="AX166" i="2"/>
  <c r="AY166" i="2" s="1"/>
  <c r="AX169" i="2"/>
  <c r="AY169" i="2" s="1"/>
  <c r="AX182" i="2"/>
  <c r="AY182" i="2" s="1"/>
  <c r="AX186" i="2"/>
  <c r="AY186" i="2" s="1"/>
  <c r="AX190" i="2"/>
  <c r="AY190" i="2" s="1"/>
  <c r="AX194" i="2"/>
  <c r="AY194" i="2" s="1"/>
  <c r="AX165" i="2"/>
  <c r="AY165" i="2" s="1"/>
  <c r="AX180" i="2"/>
  <c r="AY180" i="2" s="1"/>
  <c r="AX188" i="2"/>
  <c r="AY188" i="2" s="1"/>
  <c r="AX196" i="2"/>
  <c r="AY196" i="2" s="1"/>
  <c r="AX167" i="2"/>
  <c r="AY167" i="2" s="1"/>
  <c r="AX173" i="2"/>
  <c r="AY173" i="2" s="1"/>
  <c r="AX175" i="2"/>
  <c r="AY175" i="2" s="1"/>
  <c r="AX177" i="2"/>
  <c r="AY177" i="2" s="1"/>
  <c r="AX156" i="2"/>
  <c r="AY156" i="2" s="1"/>
  <c r="AX174" i="2"/>
  <c r="AY174" i="2" s="1"/>
  <c r="AX184" i="2"/>
  <c r="AY184" i="2" s="1"/>
  <c r="AX187" i="2"/>
  <c r="AY187" i="2" s="1"/>
  <c r="AX193" i="2"/>
  <c r="AY193" i="2" s="1"/>
  <c r="AX171" i="2"/>
  <c r="AY171" i="2" s="1"/>
  <c r="AX179" i="2"/>
  <c r="AY179" i="2" s="1"/>
  <c r="AX185" i="2"/>
  <c r="AY185" i="2" s="1"/>
  <c r="AX197" i="2"/>
  <c r="AY197" i="2" s="1"/>
  <c r="AX189" i="2"/>
  <c r="AY189" i="2" s="1"/>
  <c r="AX191" i="2"/>
  <c r="AY191" i="2" s="1"/>
  <c r="AX178" i="2"/>
  <c r="AY178" i="2" s="1"/>
  <c r="AX181" i="2"/>
  <c r="AY181" i="2" s="1"/>
  <c r="AX183" i="2"/>
  <c r="AY183" i="2" s="1"/>
  <c r="AX192" i="2"/>
  <c r="AY192" i="2" s="1"/>
  <c r="AX195" i="2"/>
  <c r="AY195" i="2" s="1"/>
  <c r="Q225" i="2"/>
  <c r="Z225" i="2" s="1" a="1"/>
  <c r="Z225" i="2" s="1"/>
  <c r="D226" i="2"/>
  <c r="C226" i="2"/>
  <c r="H226" i="2" l="1"/>
  <c r="J100" i="1" s="1"/>
  <c r="I226" i="2"/>
  <c r="J226" i="2"/>
  <c r="K226" i="2"/>
  <c r="H99" i="19"/>
  <c r="H99" i="1"/>
  <c r="I99" i="19"/>
  <c r="I99" i="1"/>
  <c r="F100" i="19"/>
  <c r="N226" i="2"/>
  <c r="Y226" i="2" a="1"/>
  <c r="Y226" i="2" s="1"/>
  <c r="F100" i="14"/>
  <c r="F100" i="15"/>
  <c r="G99" i="15"/>
  <c r="G99" i="14"/>
  <c r="I99" i="15"/>
  <c r="I99" i="14"/>
  <c r="H99" i="15"/>
  <c r="H99" i="14"/>
  <c r="X225" i="2"/>
  <c r="G99" i="1"/>
  <c r="F100" i="1"/>
  <c r="S225" i="2"/>
  <c r="O226" i="2"/>
  <c r="P226" i="2"/>
  <c r="R226" i="2"/>
  <c r="B227" i="2"/>
  <c r="AY151" i="2"/>
  <c r="L226" i="2"/>
  <c r="N100" i="19" s="1"/>
  <c r="M226" i="2"/>
  <c r="F226" i="2"/>
  <c r="G226" i="2"/>
  <c r="E226" i="2"/>
  <c r="O100" i="19" l="1"/>
  <c r="O100" i="1"/>
  <c r="J100" i="19"/>
  <c r="M100" i="19"/>
  <c r="M100" i="1"/>
  <c r="L100" i="19"/>
  <c r="L100" i="1"/>
  <c r="K100" i="19"/>
  <c r="K100" i="1"/>
  <c r="L100" i="15"/>
  <c r="L100" i="14"/>
  <c r="M100" i="15"/>
  <c r="M100" i="14"/>
  <c r="K100" i="15"/>
  <c r="K100" i="14"/>
  <c r="J100" i="15"/>
  <c r="J100" i="14"/>
  <c r="O100" i="15"/>
  <c r="O100" i="14"/>
  <c r="N100" i="15"/>
  <c r="N100" i="14"/>
  <c r="N100" i="1"/>
  <c r="V226" i="2"/>
  <c r="W226" i="2"/>
  <c r="U226" i="2"/>
  <c r="G100" i="19" s="1"/>
  <c r="T226" i="2"/>
  <c r="AA226" i="2" s="1" a="1"/>
  <c r="AA226" i="2" s="1"/>
  <c r="AZ151" i="2"/>
  <c r="AZ152" i="2"/>
  <c r="BA152" i="2" s="1"/>
  <c r="AZ154" i="2"/>
  <c r="BA154" i="2" s="1"/>
  <c r="AZ156" i="2"/>
  <c r="BA156" i="2" s="1"/>
  <c r="AZ158" i="2"/>
  <c r="BA158" i="2" s="1"/>
  <c r="AZ162" i="2"/>
  <c r="BA162" i="2" s="1"/>
  <c r="AZ157" i="2"/>
  <c r="BA157" i="2" s="1"/>
  <c r="AZ161" i="2"/>
  <c r="BA161" i="2" s="1"/>
  <c r="AZ160" i="2"/>
  <c r="BA160" i="2" s="1"/>
  <c r="AZ163" i="2"/>
  <c r="BA163" i="2" s="1"/>
  <c r="AZ166" i="2"/>
  <c r="BA166" i="2" s="1"/>
  <c r="AZ170" i="2"/>
  <c r="BA170" i="2" s="1"/>
  <c r="AZ174" i="2"/>
  <c r="BA174" i="2" s="1"/>
  <c r="AZ169" i="2"/>
  <c r="BA169" i="2" s="1"/>
  <c r="AZ178" i="2"/>
  <c r="BA178" i="2" s="1"/>
  <c r="AZ153" i="2"/>
  <c r="BA153" i="2" s="1"/>
  <c r="AZ165" i="2"/>
  <c r="BA165" i="2" s="1"/>
  <c r="AZ168" i="2"/>
  <c r="BA168" i="2" s="1"/>
  <c r="AZ171" i="2"/>
  <c r="BA171" i="2" s="1"/>
  <c r="AZ180" i="2"/>
  <c r="BA180" i="2" s="1"/>
  <c r="AZ184" i="2"/>
  <c r="BA184" i="2" s="1"/>
  <c r="AZ188" i="2"/>
  <c r="BA188" i="2" s="1"/>
  <c r="AZ192" i="2"/>
  <c r="BA192" i="2" s="1"/>
  <c r="AZ196" i="2"/>
  <c r="BA196" i="2" s="1"/>
  <c r="AZ155" i="2"/>
  <c r="BA155" i="2" s="1"/>
  <c r="AZ179" i="2"/>
  <c r="BA179" i="2" s="1"/>
  <c r="AZ187" i="2"/>
  <c r="BA187" i="2" s="1"/>
  <c r="AZ195" i="2"/>
  <c r="BA195" i="2" s="1"/>
  <c r="AZ172" i="2"/>
  <c r="BA172" i="2" s="1"/>
  <c r="AZ176" i="2"/>
  <c r="BA176" i="2" s="1"/>
  <c r="AZ164" i="2"/>
  <c r="BA164" i="2" s="1"/>
  <c r="AZ175" i="2"/>
  <c r="BA175" i="2" s="1"/>
  <c r="AZ183" i="2"/>
  <c r="BA183" i="2" s="1"/>
  <c r="AZ186" i="2"/>
  <c r="BA186" i="2" s="1"/>
  <c r="AZ189" i="2"/>
  <c r="BA189" i="2" s="1"/>
  <c r="AZ159" i="2"/>
  <c r="BA159" i="2" s="1"/>
  <c r="AZ167" i="2"/>
  <c r="BA167" i="2" s="1"/>
  <c r="AZ173" i="2"/>
  <c r="BA173" i="2" s="1"/>
  <c r="AZ181" i="2"/>
  <c r="BA181" i="2" s="1"/>
  <c r="AZ193" i="2"/>
  <c r="BA193" i="2" s="1"/>
  <c r="AZ185" i="2"/>
  <c r="BA185" i="2" s="1"/>
  <c r="AZ190" i="2"/>
  <c r="BA190" i="2" s="1"/>
  <c r="AZ177" i="2"/>
  <c r="BA177" i="2" s="1"/>
  <c r="AZ182" i="2"/>
  <c r="BA182" i="2" s="1"/>
  <c r="AZ191" i="2"/>
  <c r="BA191" i="2" s="1"/>
  <c r="AZ194" i="2"/>
  <c r="BA194" i="2" s="1"/>
  <c r="AZ197" i="2"/>
  <c r="BA197" i="2" s="1"/>
  <c r="Q226" i="2"/>
  <c r="Z226" i="2" s="1" a="1"/>
  <c r="Z226" i="2" s="1"/>
  <c r="C227" i="2"/>
  <c r="D227" i="2"/>
  <c r="H227" i="2" l="1"/>
  <c r="J101" i="1" s="1"/>
  <c r="J227" i="2"/>
  <c r="I227" i="2"/>
  <c r="K227" i="2"/>
  <c r="H100" i="19"/>
  <c r="H100" i="1"/>
  <c r="I100" i="19"/>
  <c r="I100" i="1"/>
  <c r="F101" i="19"/>
  <c r="N227" i="2"/>
  <c r="Y227" i="2" a="1"/>
  <c r="Y227" i="2" s="1"/>
  <c r="F101" i="14"/>
  <c r="F101" i="15"/>
  <c r="I100" i="15"/>
  <c r="I100" i="14"/>
  <c r="H100" i="14"/>
  <c r="H100" i="15"/>
  <c r="G100" i="14"/>
  <c r="G100" i="15"/>
  <c r="X226" i="2"/>
  <c r="G100" i="1"/>
  <c r="S226" i="2"/>
  <c r="F101" i="1"/>
  <c r="O227" i="2"/>
  <c r="P227" i="2"/>
  <c r="B228" i="2"/>
  <c r="BA151" i="2"/>
  <c r="F227" i="2"/>
  <c r="E227" i="2"/>
  <c r="L227" i="2"/>
  <c r="N101" i="19" s="1"/>
  <c r="M227" i="2"/>
  <c r="G227" i="2"/>
  <c r="R227" i="2"/>
  <c r="M101" i="19" l="1"/>
  <c r="M101" i="1"/>
  <c r="K101" i="19"/>
  <c r="K101" i="1"/>
  <c r="J101" i="19"/>
  <c r="O101" i="19"/>
  <c r="O101" i="1"/>
  <c r="L101" i="19"/>
  <c r="L101" i="1"/>
  <c r="L101" i="15"/>
  <c r="L101" i="14"/>
  <c r="M101" i="15"/>
  <c r="M101" i="14"/>
  <c r="K101" i="15"/>
  <c r="K101" i="14"/>
  <c r="J101" i="14"/>
  <c r="J101" i="15"/>
  <c r="O101" i="15"/>
  <c r="O101" i="14"/>
  <c r="N101" i="15"/>
  <c r="N101" i="14"/>
  <c r="N101" i="1"/>
  <c r="W227" i="2"/>
  <c r="V227" i="2"/>
  <c r="U227" i="2"/>
  <c r="G101" i="19" s="1"/>
  <c r="T227" i="2"/>
  <c r="AA227" i="2" s="1" a="1"/>
  <c r="AA227" i="2" s="1"/>
  <c r="BB151" i="2"/>
  <c r="BB154" i="2"/>
  <c r="BC154" i="2" s="1"/>
  <c r="BB160" i="2"/>
  <c r="BC160" i="2" s="1"/>
  <c r="BB152" i="2"/>
  <c r="BC152" i="2" s="1"/>
  <c r="BB155" i="2"/>
  <c r="BC155" i="2" s="1"/>
  <c r="BB163" i="2"/>
  <c r="BC163" i="2" s="1"/>
  <c r="BB162" i="2"/>
  <c r="BC162" i="2" s="1"/>
  <c r="BB168" i="2"/>
  <c r="BC168" i="2" s="1"/>
  <c r="BB172" i="2"/>
  <c r="BC172" i="2" s="1"/>
  <c r="BB157" i="2"/>
  <c r="BC157" i="2" s="1"/>
  <c r="BB164" i="2"/>
  <c r="BC164" i="2" s="1"/>
  <c r="BB165" i="2"/>
  <c r="BC165" i="2" s="1"/>
  <c r="BB171" i="2"/>
  <c r="BC171" i="2" s="1"/>
  <c r="BB173" i="2"/>
  <c r="BC173" i="2" s="1"/>
  <c r="BB176" i="2"/>
  <c r="BC176" i="2" s="1"/>
  <c r="BB156" i="2"/>
  <c r="BC156" i="2" s="1"/>
  <c r="BB170" i="2"/>
  <c r="BC170" i="2" s="1"/>
  <c r="BB175" i="2"/>
  <c r="BC175" i="2" s="1"/>
  <c r="BB177" i="2"/>
  <c r="BC177" i="2" s="1"/>
  <c r="BB182" i="2"/>
  <c r="BC182" i="2" s="1"/>
  <c r="BB186" i="2"/>
  <c r="BC186" i="2" s="1"/>
  <c r="BB190" i="2"/>
  <c r="BC190" i="2" s="1"/>
  <c r="BB194" i="2"/>
  <c r="BC194" i="2" s="1"/>
  <c r="BB153" i="2"/>
  <c r="BC153" i="2" s="1"/>
  <c r="BB174" i="2"/>
  <c r="BC174" i="2" s="1"/>
  <c r="BB178" i="2"/>
  <c r="BC178" i="2" s="1"/>
  <c r="BB181" i="2"/>
  <c r="BC181" i="2" s="1"/>
  <c r="BB183" i="2"/>
  <c r="BC183" i="2" s="1"/>
  <c r="BB189" i="2"/>
  <c r="BC189" i="2" s="1"/>
  <c r="BB191" i="2"/>
  <c r="BC191" i="2" s="1"/>
  <c r="BB197" i="2"/>
  <c r="BC197" i="2" s="1"/>
  <c r="BB169" i="2"/>
  <c r="BC169" i="2" s="1"/>
  <c r="BB188" i="2"/>
  <c r="BC188" i="2" s="1"/>
  <c r="BB161" i="2"/>
  <c r="BC161" i="2" s="1"/>
  <c r="BB180" i="2"/>
  <c r="BC180" i="2" s="1"/>
  <c r="BB192" i="2"/>
  <c r="BC192" i="2" s="1"/>
  <c r="BB195" i="2"/>
  <c r="BC195" i="2" s="1"/>
  <c r="BB159" i="2"/>
  <c r="BC159" i="2" s="1"/>
  <c r="BB166" i="2"/>
  <c r="BC166" i="2" s="1"/>
  <c r="BB167" i="2"/>
  <c r="BC167" i="2" s="1"/>
  <c r="BB184" i="2"/>
  <c r="BC184" i="2" s="1"/>
  <c r="BB187" i="2"/>
  <c r="BC187" i="2" s="1"/>
  <c r="BB193" i="2"/>
  <c r="BC193" i="2" s="1"/>
  <c r="BB158" i="2"/>
  <c r="BC158" i="2" s="1"/>
  <c r="BB179" i="2"/>
  <c r="BC179" i="2" s="1"/>
  <c r="BB185" i="2"/>
  <c r="BC185" i="2" s="1"/>
  <c r="BB196" i="2"/>
  <c r="BC196" i="2" s="1"/>
  <c r="Q227" i="2"/>
  <c r="Z227" i="2" s="1" a="1"/>
  <c r="Z227" i="2" s="1"/>
  <c r="D228" i="2"/>
  <c r="C228" i="2"/>
  <c r="K228" i="2" l="1"/>
  <c r="H228" i="2"/>
  <c r="J102" i="1" s="1"/>
  <c r="I228" i="2"/>
  <c r="J228" i="2"/>
  <c r="I101" i="19"/>
  <c r="I101" i="1"/>
  <c r="H101" i="19"/>
  <c r="H101" i="1"/>
  <c r="F102" i="19"/>
  <c r="N228" i="2"/>
  <c r="Y228" i="2" a="1"/>
  <c r="Y228" i="2" s="1"/>
  <c r="F102" i="15"/>
  <c r="F102" i="14"/>
  <c r="G101" i="14"/>
  <c r="G101" i="15"/>
  <c r="H101" i="14"/>
  <c r="H101" i="15"/>
  <c r="I101" i="14"/>
  <c r="I101" i="15"/>
  <c r="X227" i="2"/>
  <c r="G101" i="1"/>
  <c r="F102" i="1"/>
  <c r="S227" i="2"/>
  <c r="O228" i="2"/>
  <c r="P228" i="2"/>
  <c r="BC151" i="2"/>
  <c r="B229" i="2"/>
  <c r="L228" i="2"/>
  <c r="N102" i="19" s="1"/>
  <c r="G228" i="2"/>
  <c r="F228" i="2"/>
  <c r="M228" i="2"/>
  <c r="E228" i="2"/>
  <c r="R228" i="2"/>
  <c r="M102" i="19" l="1"/>
  <c r="M102" i="1"/>
  <c r="K102" i="19"/>
  <c r="K102" i="1"/>
  <c r="J102" i="19"/>
  <c r="O102" i="19"/>
  <c r="O102" i="1"/>
  <c r="L102" i="19"/>
  <c r="L102" i="1"/>
  <c r="V228" i="2"/>
  <c r="K102" i="14"/>
  <c r="K102" i="15"/>
  <c r="L102" i="14"/>
  <c r="L102" i="15"/>
  <c r="J102" i="14"/>
  <c r="J102" i="15"/>
  <c r="M102" i="15"/>
  <c r="M102" i="14"/>
  <c r="O102" i="15"/>
  <c r="O102" i="14"/>
  <c r="N102" i="15"/>
  <c r="N102" i="14"/>
  <c r="N102" i="1"/>
  <c r="W228" i="2"/>
  <c r="U228" i="2"/>
  <c r="G102" i="19" s="1"/>
  <c r="T228" i="2"/>
  <c r="AA228" i="2" s="1" a="1"/>
  <c r="AA228" i="2" s="1"/>
  <c r="BD151" i="2"/>
  <c r="BD152" i="2"/>
  <c r="BE152" i="2" s="1"/>
  <c r="BD155" i="2"/>
  <c r="BE155" i="2" s="1"/>
  <c r="BD156" i="2"/>
  <c r="BE156" i="2" s="1"/>
  <c r="BD153" i="2"/>
  <c r="BE153" i="2" s="1"/>
  <c r="BD157" i="2"/>
  <c r="BE157" i="2" s="1"/>
  <c r="BD158" i="2"/>
  <c r="BE158" i="2" s="1"/>
  <c r="BD162" i="2"/>
  <c r="BE162" i="2" s="1"/>
  <c r="BD159" i="2"/>
  <c r="BE159" i="2" s="1"/>
  <c r="BD164" i="2"/>
  <c r="BE164" i="2" s="1"/>
  <c r="BD166" i="2"/>
  <c r="BE166" i="2" s="1"/>
  <c r="BD170" i="2"/>
  <c r="BE170" i="2" s="1"/>
  <c r="BD174" i="2"/>
  <c r="BE174" i="2" s="1"/>
  <c r="BD154" i="2"/>
  <c r="BE154" i="2" s="1"/>
  <c r="BD167" i="2"/>
  <c r="BE167" i="2" s="1"/>
  <c r="BD172" i="2"/>
  <c r="BE172" i="2" s="1"/>
  <c r="BD178" i="2"/>
  <c r="BE178" i="2" s="1"/>
  <c r="BD161" i="2"/>
  <c r="BE161" i="2" s="1"/>
  <c r="BD163" i="2"/>
  <c r="BE163" i="2" s="1"/>
  <c r="BD176" i="2"/>
  <c r="BE176" i="2" s="1"/>
  <c r="BD180" i="2"/>
  <c r="BE180" i="2" s="1"/>
  <c r="BD184" i="2"/>
  <c r="BE184" i="2" s="1"/>
  <c r="BD188" i="2"/>
  <c r="BE188" i="2" s="1"/>
  <c r="BD192" i="2"/>
  <c r="BE192" i="2" s="1"/>
  <c r="BD196" i="2"/>
  <c r="BE196" i="2" s="1"/>
  <c r="BD177" i="2"/>
  <c r="BE177" i="2" s="1"/>
  <c r="BD182" i="2"/>
  <c r="BE182" i="2" s="1"/>
  <c r="BD185" i="2"/>
  <c r="BE185" i="2" s="1"/>
  <c r="BD190" i="2"/>
  <c r="BE190" i="2" s="1"/>
  <c r="BD193" i="2"/>
  <c r="BE193" i="2" s="1"/>
  <c r="BD160" i="2"/>
  <c r="BE160" i="2" s="1"/>
  <c r="BD171" i="2"/>
  <c r="BE171" i="2" s="1"/>
  <c r="BD175" i="2"/>
  <c r="BE175" i="2" s="1"/>
  <c r="BD179" i="2"/>
  <c r="BE179" i="2" s="1"/>
  <c r="BD168" i="2"/>
  <c r="BE168" i="2" s="1"/>
  <c r="BD169" i="2"/>
  <c r="BE169" i="2" s="1"/>
  <c r="BD191" i="2"/>
  <c r="BE191" i="2" s="1"/>
  <c r="BD194" i="2"/>
  <c r="BE194" i="2" s="1"/>
  <c r="BD197" i="2"/>
  <c r="BE197" i="2" s="1"/>
  <c r="BD165" i="2"/>
  <c r="BE165" i="2" s="1"/>
  <c r="BD173" i="2"/>
  <c r="BE173" i="2" s="1"/>
  <c r="BD183" i="2"/>
  <c r="BE183" i="2" s="1"/>
  <c r="BD186" i="2"/>
  <c r="BE186" i="2" s="1"/>
  <c r="BD189" i="2"/>
  <c r="BE189" i="2" s="1"/>
  <c r="BD195" i="2"/>
  <c r="BE195" i="2" s="1"/>
  <c r="BD181" i="2"/>
  <c r="BE181" i="2" s="1"/>
  <c r="BD187" i="2"/>
  <c r="BE187" i="2" s="1"/>
  <c r="Q228" i="2"/>
  <c r="Z228" i="2" s="1" a="1"/>
  <c r="Z228" i="2" s="1"/>
  <c r="C229" i="2"/>
  <c r="D229" i="2"/>
  <c r="K229" i="2" l="1"/>
  <c r="J229" i="2"/>
  <c r="H229" i="2"/>
  <c r="J103" i="1" s="1"/>
  <c r="I229" i="2"/>
  <c r="H102" i="19"/>
  <c r="H102" i="1"/>
  <c r="H102" i="15"/>
  <c r="I102" i="19"/>
  <c r="I102" i="1"/>
  <c r="H102" i="14"/>
  <c r="F103" i="19"/>
  <c r="N229" i="2"/>
  <c r="G102" i="15"/>
  <c r="G102" i="14"/>
  <c r="I102" i="14"/>
  <c r="I102" i="15"/>
  <c r="Y229" i="2" a="1"/>
  <c r="Y229" i="2" s="1"/>
  <c r="F103" i="15"/>
  <c r="F103" i="14"/>
  <c r="X228" i="2"/>
  <c r="G102" i="1"/>
  <c r="F103" i="1"/>
  <c r="S228" i="2"/>
  <c r="P229" i="2"/>
  <c r="O229" i="2"/>
  <c r="B230" i="2"/>
  <c r="BE151" i="2"/>
  <c r="L229" i="2"/>
  <c r="N103" i="19" s="1"/>
  <c r="E229" i="2"/>
  <c r="M229" i="2"/>
  <c r="G229" i="2"/>
  <c r="F229" i="2"/>
  <c r="R229" i="2"/>
  <c r="J103" i="19" l="1"/>
  <c r="O103" i="19"/>
  <c r="O103" i="1"/>
  <c r="L103" i="19"/>
  <c r="L103" i="1"/>
  <c r="M103" i="19"/>
  <c r="M103" i="1"/>
  <c r="K103" i="19"/>
  <c r="K103" i="1"/>
  <c r="W229" i="2"/>
  <c r="O103" i="15"/>
  <c r="O103" i="14"/>
  <c r="L103" i="14"/>
  <c r="L103" i="15"/>
  <c r="K103" i="14"/>
  <c r="K103" i="15"/>
  <c r="J103" i="14"/>
  <c r="J103" i="15"/>
  <c r="M103" i="14"/>
  <c r="M103" i="15"/>
  <c r="N103" i="14"/>
  <c r="N103" i="15"/>
  <c r="N103" i="1"/>
  <c r="V229" i="2"/>
  <c r="U229" i="2"/>
  <c r="G103" i="19" s="1"/>
  <c r="T229" i="2"/>
  <c r="AA229" i="2" s="1" a="1"/>
  <c r="AA229" i="2" s="1"/>
  <c r="BF151" i="2"/>
  <c r="B231" i="2" s="1"/>
  <c r="BF154" i="2"/>
  <c r="BG154" i="2" s="1"/>
  <c r="BF153" i="2"/>
  <c r="BG153" i="2" s="1"/>
  <c r="BF155" i="2"/>
  <c r="BG155" i="2" s="1"/>
  <c r="BF160" i="2"/>
  <c r="BG160" i="2" s="1"/>
  <c r="BF158" i="2"/>
  <c r="BG158" i="2" s="1"/>
  <c r="BF163" i="2"/>
  <c r="BG163" i="2" s="1"/>
  <c r="BF156" i="2"/>
  <c r="BG156" i="2" s="1"/>
  <c r="BF161" i="2"/>
  <c r="BG161" i="2" s="1"/>
  <c r="BF168" i="2"/>
  <c r="BG168" i="2" s="1"/>
  <c r="BF172" i="2"/>
  <c r="BG172" i="2" s="1"/>
  <c r="BF159" i="2"/>
  <c r="BG159" i="2" s="1"/>
  <c r="BF166" i="2"/>
  <c r="BG166" i="2" s="1"/>
  <c r="BF174" i="2"/>
  <c r="BG174" i="2" s="1"/>
  <c r="BF176" i="2"/>
  <c r="BG176" i="2" s="1"/>
  <c r="BF162" i="2"/>
  <c r="BG162" i="2" s="1"/>
  <c r="BF165" i="2"/>
  <c r="BG165" i="2" s="1"/>
  <c r="BF169" i="2"/>
  <c r="BG169" i="2" s="1"/>
  <c r="BF178" i="2"/>
  <c r="BG178" i="2" s="1"/>
  <c r="BF182" i="2"/>
  <c r="BG182" i="2" s="1"/>
  <c r="BF186" i="2"/>
  <c r="BG186" i="2" s="1"/>
  <c r="BF190" i="2"/>
  <c r="BG190" i="2" s="1"/>
  <c r="BF194" i="2"/>
  <c r="BG194" i="2" s="1"/>
  <c r="BF152" i="2"/>
  <c r="BG152" i="2" s="1"/>
  <c r="BF164" i="2"/>
  <c r="BG164" i="2" s="1"/>
  <c r="BF167" i="2"/>
  <c r="BG167" i="2" s="1"/>
  <c r="BF184" i="2"/>
  <c r="BG184" i="2" s="1"/>
  <c r="BF192" i="2"/>
  <c r="BG192" i="2" s="1"/>
  <c r="BF170" i="2"/>
  <c r="BG170" i="2" s="1"/>
  <c r="BF173" i="2"/>
  <c r="BG173" i="2" s="1"/>
  <c r="BF181" i="2"/>
  <c r="BG181" i="2" s="1"/>
  <c r="BF183" i="2"/>
  <c r="BG183" i="2" s="1"/>
  <c r="BF187" i="2"/>
  <c r="BG187" i="2" s="1"/>
  <c r="BF193" i="2"/>
  <c r="BG193" i="2" s="1"/>
  <c r="BF157" i="2"/>
  <c r="BG157" i="2" s="1"/>
  <c r="BF175" i="2"/>
  <c r="BG175" i="2" s="1"/>
  <c r="BF177" i="2"/>
  <c r="BG177" i="2" s="1"/>
  <c r="BF179" i="2"/>
  <c r="BG179" i="2" s="1"/>
  <c r="BF185" i="2"/>
  <c r="BG185" i="2" s="1"/>
  <c r="BF196" i="2"/>
  <c r="BG196" i="2" s="1"/>
  <c r="BF188" i="2"/>
  <c r="BG188" i="2" s="1"/>
  <c r="BF197" i="2"/>
  <c r="BG197" i="2" s="1"/>
  <c r="BF171" i="2"/>
  <c r="BG171" i="2" s="1"/>
  <c r="BF180" i="2"/>
  <c r="BG180" i="2" s="1"/>
  <c r="BF189" i="2"/>
  <c r="BG189" i="2" s="1"/>
  <c r="BF191" i="2"/>
  <c r="BG191" i="2" s="1"/>
  <c r="BF195" i="2"/>
  <c r="BG195" i="2" s="1"/>
  <c r="Q229" i="2"/>
  <c r="Z229" i="2" s="1" a="1"/>
  <c r="Z229" i="2" s="1"/>
  <c r="D230" i="2"/>
  <c r="C230" i="2"/>
  <c r="K230" i="2" l="1"/>
  <c r="H230" i="2"/>
  <c r="J104" i="1" s="1"/>
  <c r="J230" i="2"/>
  <c r="I230" i="2"/>
  <c r="I103" i="19"/>
  <c r="I103" i="1"/>
  <c r="H103" i="19"/>
  <c r="H103" i="1"/>
  <c r="I103" i="15"/>
  <c r="I103" i="14"/>
  <c r="F104" i="19"/>
  <c r="N230" i="2"/>
  <c r="G103" i="15"/>
  <c r="G103" i="14"/>
  <c r="H103" i="15"/>
  <c r="H103" i="14"/>
  <c r="Y230" i="2" a="1"/>
  <c r="Y230" i="2" s="1"/>
  <c r="F104" i="15"/>
  <c r="F104" i="14"/>
  <c r="X229" i="2"/>
  <c r="G103" i="1"/>
  <c r="F104" i="1"/>
  <c r="S229" i="2"/>
  <c r="O230" i="2"/>
  <c r="P230" i="2"/>
  <c r="BG151" i="2"/>
  <c r="L230" i="2"/>
  <c r="N104" i="19" s="1"/>
  <c r="M230" i="2"/>
  <c r="E230" i="2"/>
  <c r="F230" i="2"/>
  <c r="G230" i="2"/>
  <c r="R230" i="2"/>
  <c r="D231" i="2"/>
  <c r="C231" i="2"/>
  <c r="K231" i="2" l="1"/>
  <c r="H231" i="2"/>
  <c r="J105" i="1" s="1"/>
  <c r="J231" i="2"/>
  <c r="I231" i="2"/>
  <c r="J104" i="19"/>
  <c r="M104" i="19"/>
  <c r="M104" i="1"/>
  <c r="K104" i="19"/>
  <c r="K104" i="1"/>
  <c r="O104" i="19"/>
  <c r="O104" i="1"/>
  <c r="L104" i="19"/>
  <c r="L104" i="1"/>
  <c r="F105" i="19"/>
  <c r="N231" i="2"/>
  <c r="O104" i="14"/>
  <c r="O104" i="15"/>
  <c r="N104" i="14"/>
  <c r="N104" i="15"/>
  <c r="J104" i="15"/>
  <c r="J104" i="14"/>
  <c r="L104" i="14"/>
  <c r="L104" i="15"/>
  <c r="K104" i="15"/>
  <c r="K104" i="14"/>
  <c r="M104" i="14"/>
  <c r="M104" i="15"/>
  <c r="Y231" i="2" a="1"/>
  <c r="Y231" i="2" s="1"/>
  <c r="F105" i="14"/>
  <c r="F105" i="15"/>
  <c r="N104" i="1"/>
  <c r="F105" i="1"/>
  <c r="W230" i="2"/>
  <c r="V230" i="2"/>
  <c r="U230" i="2"/>
  <c r="G104" i="19" s="1"/>
  <c r="T230" i="2"/>
  <c r="AA230" i="2" s="1" a="1"/>
  <c r="AA230" i="2" s="1"/>
  <c r="P231" i="2"/>
  <c r="O231" i="2"/>
  <c r="BH152" i="2"/>
  <c r="BI152" i="2" s="1"/>
  <c r="BH153" i="2"/>
  <c r="BI153" i="2" s="1"/>
  <c r="BH156" i="2"/>
  <c r="BI156" i="2" s="1"/>
  <c r="BH154" i="2"/>
  <c r="BI154" i="2" s="1"/>
  <c r="BH158" i="2"/>
  <c r="BI158" i="2" s="1"/>
  <c r="BH162" i="2"/>
  <c r="BI162" i="2" s="1"/>
  <c r="BH157" i="2"/>
  <c r="BI157" i="2" s="1"/>
  <c r="BH160" i="2"/>
  <c r="BI160" i="2" s="1"/>
  <c r="BH166" i="2"/>
  <c r="BI166" i="2" s="1"/>
  <c r="BH170" i="2"/>
  <c r="BI170" i="2" s="1"/>
  <c r="BH174" i="2"/>
  <c r="BI174" i="2" s="1"/>
  <c r="BH161" i="2"/>
  <c r="BI161" i="2" s="1"/>
  <c r="BH165" i="2"/>
  <c r="BI165" i="2" s="1"/>
  <c r="BH173" i="2"/>
  <c r="BI173" i="2" s="1"/>
  <c r="BH178" i="2"/>
  <c r="BI178" i="2" s="1"/>
  <c r="BH159" i="2"/>
  <c r="BI159" i="2" s="1"/>
  <c r="BH168" i="2"/>
  <c r="BI168" i="2" s="1"/>
  <c r="BH171" i="2"/>
  <c r="BI171" i="2" s="1"/>
  <c r="BH177" i="2"/>
  <c r="BI177" i="2" s="1"/>
  <c r="BH180" i="2"/>
  <c r="BI180" i="2" s="1"/>
  <c r="BH184" i="2"/>
  <c r="BI184" i="2" s="1"/>
  <c r="BH188" i="2"/>
  <c r="BI188" i="2" s="1"/>
  <c r="BH192" i="2"/>
  <c r="BI192" i="2" s="1"/>
  <c r="BH196" i="2"/>
  <c r="BI196" i="2" s="1"/>
  <c r="BH163" i="2"/>
  <c r="BI163" i="2" s="1"/>
  <c r="BH169" i="2"/>
  <c r="BI169" i="2" s="1"/>
  <c r="BH183" i="2"/>
  <c r="BI183" i="2" s="1"/>
  <c r="BH191" i="2"/>
  <c r="BI191" i="2" s="1"/>
  <c r="BH164" i="2"/>
  <c r="BI164" i="2" s="1"/>
  <c r="BH172" i="2"/>
  <c r="BI172" i="2" s="1"/>
  <c r="BH182" i="2"/>
  <c r="BI182" i="2" s="1"/>
  <c r="BH186" i="2"/>
  <c r="BI186" i="2" s="1"/>
  <c r="BH189" i="2"/>
  <c r="BI189" i="2" s="1"/>
  <c r="BH195" i="2"/>
  <c r="BI195" i="2" s="1"/>
  <c r="BH176" i="2"/>
  <c r="BI176" i="2" s="1"/>
  <c r="BH181" i="2"/>
  <c r="BI181" i="2" s="1"/>
  <c r="BH187" i="2"/>
  <c r="BI187" i="2" s="1"/>
  <c r="BH155" i="2"/>
  <c r="BI155" i="2" s="1"/>
  <c r="BH175" i="2"/>
  <c r="BI175" i="2" s="1"/>
  <c r="BH179" i="2"/>
  <c r="BI179" i="2" s="1"/>
  <c r="BH193" i="2"/>
  <c r="BI193" i="2" s="1"/>
  <c r="BH167" i="2"/>
  <c r="BI167" i="2" s="1"/>
  <c r="BH185" i="2"/>
  <c r="BI185" i="2" s="1"/>
  <c r="BH190" i="2"/>
  <c r="BI190" i="2" s="1"/>
  <c r="BH194" i="2"/>
  <c r="BI194" i="2" s="1"/>
  <c r="BH197" i="2"/>
  <c r="BI197" i="2" s="1"/>
  <c r="BH151" i="2"/>
  <c r="B232" i="2" s="1"/>
  <c r="M231" i="2"/>
  <c r="F231" i="2"/>
  <c r="G231" i="2"/>
  <c r="E231" i="2"/>
  <c r="L231" i="2"/>
  <c r="N105" i="19" s="1"/>
  <c r="R231" i="2"/>
  <c r="Q230" i="2"/>
  <c r="Z230" i="2" s="1" a="1"/>
  <c r="Z230" i="2" s="1"/>
  <c r="H104" i="19" l="1"/>
  <c r="H104" i="1"/>
  <c r="M105" i="19"/>
  <c r="M105" i="1"/>
  <c r="I104" i="19"/>
  <c r="I104" i="1"/>
  <c r="O105" i="19"/>
  <c r="O105" i="1"/>
  <c r="J105" i="19"/>
  <c r="L105" i="19"/>
  <c r="L105" i="1"/>
  <c r="K105" i="19"/>
  <c r="K105" i="1"/>
  <c r="H104" i="15"/>
  <c r="H104" i="14"/>
  <c r="I104" i="15"/>
  <c r="I104" i="14"/>
  <c r="K105" i="15"/>
  <c r="K105" i="14"/>
  <c r="J105" i="15"/>
  <c r="J105" i="14"/>
  <c r="O105" i="14"/>
  <c r="O105" i="15"/>
  <c r="M105" i="15"/>
  <c r="M105" i="14"/>
  <c r="L105" i="15"/>
  <c r="L105" i="14"/>
  <c r="N105" i="14"/>
  <c r="N105" i="15"/>
  <c r="G104" i="15"/>
  <c r="G104" i="14"/>
  <c r="X230" i="2"/>
  <c r="G104" i="1"/>
  <c r="N105" i="1"/>
  <c r="S230" i="2"/>
  <c r="U231" i="2"/>
  <c r="G105" i="19" s="1"/>
  <c r="W231" i="2"/>
  <c r="V231" i="2"/>
  <c r="T231" i="2"/>
  <c r="AA231" i="2" s="1" a="1"/>
  <c r="AA231" i="2" s="1"/>
  <c r="BI151" i="2"/>
  <c r="Q231" i="2"/>
  <c r="Z231" i="2" s="1" a="1"/>
  <c r="Z231" i="2" s="1"/>
  <c r="C232" i="2"/>
  <c r="D232" i="2"/>
  <c r="J232" i="2" l="1"/>
  <c r="I232" i="2"/>
  <c r="H232" i="2"/>
  <c r="J106" i="1" s="1"/>
  <c r="K232" i="2"/>
  <c r="H105" i="19"/>
  <c r="H105" i="1"/>
  <c r="I105" i="19"/>
  <c r="I105" i="1"/>
  <c r="F106" i="19"/>
  <c r="N232" i="2"/>
  <c r="H105" i="15"/>
  <c r="H105" i="14"/>
  <c r="G105" i="15"/>
  <c r="G105" i="14"/>
  <c r="I105" i="15"/>
  <c r="I105" i="14"/>
  <c r="Y232" i="2" a="1"/>
  <c r="Y232" i="2" s="1"/>
  <c r="F106" i="14"/>
  <c r="F106" i="15"/>
  <c r="X231" i="2"/>
  <c r="G105" i="1"/>
  <c r="S231" i="2"/>
  <c r="F106" i="1"/>
  <c r="O232" i="2"/>
  <c r="P232" i="2"/>
  <c r="BJ154" i="2"/>
  <c r="BK154" i="2" s="1"/>
  <c r="BJ152" i="2"/>
  <c r="BK152" i="2" s="1"/>
  <c r="BJ156" i="2"/>
  <c r="BK156" i="2" s="1"/>
  <c r="BJ157" i="2"/>
  <c r="BK157" i="2" s="1"/>
  <c r="BJ160" i="2"/>
  <c r="BK160" i="2" s="1"/>
  <c r="BJ153" i="2"/>
  <c r="BK153" i="2" s="1"/>
  <c r="BJ159" i="2"/>
  <c r="BK159" i="2" s="1"/>
  <c r="BJ161" i="2"/>
  <c r="BK161" i="2" s="1"/>
  <c r="BJ163" i="2"/>
  <c r="BK163" i="2" s="1"/>
  <c r="BJ155" i="2"/>
  <c r="BK155" i="2" s="1"/>
  <c r="BJ162" i="2"/>
  <c r="BK162" i="2" s="1"/>
  <c r="BJ168" i="2"/>
  <c r="BK168" i="2" s="1"/>
  <c r="BJ172" i="2"/>
  <c r="BK172" i="2" s="1"/>
  <c r="BJ164" i="2"/>
  <c r="BK164" i="2" s="1"/>
  <c r="BJ167" i="2"/>
  <c r="BK167" i="2" s="1"/>
  <c r="BJ169" i="2"/>
  <c r="BK169" i="2" s="1"/>
  <c r="BJ176" i="2"/>
  <c r="BK176" i="2" s="1"/>
  <c r="BJ170" i="2"/>
  <c r="BK170" i="2" s="1"/>
  <c r="BJ182" i="2"/>
  <c r="BK182" i="2" s="1"/>
  <c r="BJ186" i="2"/>
  <c r="BK186" i="2" s="1"/>
  <c r="BJ190" i="2"/>
  <c r="BK190" i="2" s="1"/>
  <c r="BJ194" i="2"/>
  <c r="BK194" i="2" s="1"/>
  <c r="BJ158" i="2"/>
  <c r="BK158" i="2" s="1"/>
  <c r="BJ174" i="2"/>
  <c r="BK174" i="2" s="1"/>
  <c r="BJ175" i="2"/>
  <c r="BK175" i="2" s="1"/>
  <c r="BJ177" i="2"/>
  <c r="BK177" i="2" s="1"/>
  <c r="BJ179" i="2"/>
  <c r="BK179" i="2" s="1"/>
  <c r="BJ185" i="2"/>
  <c r="BK185" i="2" s="1"/>
  <c r="BJ187" i="2"/>
  <c r="BK187" i="2" s="1"/>
  <c r="BJ193" i="2"/>
  <c r="BK193" i="2" s="1"/>
  <c r="BJ195" i="2"/>
  <c r="BK195" i="2" s="1"/>
  <c r="BJ165" i="2"/>
  <c r="BK165" i="2" s="1"/>
  <c r="BJ166" i="2"/>
  <c r="BK166" i="2" s="1"/>
  <c r="BJ171" i="2"/>
  <c r="BK171" i="2" s="1"/>
  <c r="BJ178" i="2"/>
  <c r="BK178" i="2" s="1"/>
  <c r="BJ188" i="2"/>
  <c r="BK188" i="2" s="1"/>
  <c r="BJ197" i="2"/>
  <c r="BK197" i="2" s="1"/>
  <c r="BJ180" i="2"/>
  <c r="BK180" i="2" s="1"/>
  <c r="BJ189" i="2"/>
  <c r="BK189" i="2" s="1"/>
  <c r="BJ191" i="2"/>
  <c r="BK191" i="2" s="1"/>
  <c r="BJ181" i="2"/>
  <c r="BK181" i="2" s="1"/>
  <c r="BJ183" i="2"/>
  <c r="BK183" i="2" s="1"/>
  <c r="BJ192" i="2"/>
  <c r="BK192" i="2" s="1"/>
  <c r="BJ173" i="2"/>
  <c r="BK173" i="2" s="1"/>
  <c r="BJ184" i="2"/>
  <c r="BK184" i="2" s="1"/>
  <c r="BJ196" i="2"/>
  <c r="BK196" i="2" s="1"/>
  <c r="BJ151" i="2"/>
  <c r="B233" i="2" s="1"/>
  <c r="C233" i="2" s="1"/>
  <c r="L232" i="2"/>
  <c r="N106" i="19" s="1"/>
  <c r="G232" i="2"/>
  <c r="F232" i="2"/>
  <c r="E232" i="2"/>
  <c r="M232" i="2"/>
  <c r="R232" i="2"/>
  <c r="K106" i="19" l="1"/>
  <c r="K106" i="1"/>
  <c r="J106" i="19"/>
  <c r="O106" i="19"/>
  <c r="O106" i="1"/>
  <c r="L106" i="19"/>
  <c r="L106" i="1"/>
  <c r="M106" i="19"/>
  <c r="M106" i="1"/>
  <c r="N106" i="15"/>
  <c r="N106" i="14"/>
  <c r="J106" i="15"/>
  <c r="J106" i="14"/>
  <c r="M106" i="15"/>
  <c r="M106" i="14"/>
  <c r="L106" i="15"/>
  <c r="L106" i="14"/>
  <c r="K106" i="15"/>
  <c r="K106" i="14"/>
  <c r="O106" i="15"/>
  <c r="O106" i="14"/>
  <c r="N106" i="1"/>
  <c r="U232" i="2"/>
  <c r="G106" i="19" s="1"/>
  <c r="V232" i="2"/>
  <c r="W232" i="2"/>
  <c r="T232" i="2"/>
  <c r="AA232" i="2" s="1" a="1"/>
  <c r="AA232" i="2" s="1"/>
  <c r="BK151" i="2"/>
  <c r="D233" i="2"/>
  <c r="Q232" i="2"/>
  <c r="Z232" i="2" s="1" a="1"/>
  <c r="Z232" i="2" s="1"/>
  <c r="J233" i="2" l="1"/>
  <c r="I233" i="2"/>
  <c r="H233" i="2"/>
  <c r="J107" i="1" s="1"/>
  <c r="K233" i="2"/>
  <c r="I106" i="19"/>
  <c r="I106" i="1"/>
  <c r="H106" i="19"/>
  <c r="H106" i="1"/>
  <c r="F107" i="19"/>
  <c r="N233" i="2"/>
  <c r="G106" i="14"/>
  <c r="G106" i="15"/>
  <c r="Y233" i="2" a="1"/>
  <c r="Y233" i="2" s="1"/>
  <c r="F107" i="14"/>
  <c r="F107" i="15"/>
  <c r="H106" i="14"/>
  <c r="H106" i="15"/>
  <c r="I106" i="15"/>
  <c r="I106" i="14"/>
  <c r="X232" i="2"/>
  <c r="G106" i="1"/>
  <c r="F107" i="1"/>
  <c r="S232" i="2"/>
  <c r="P233" i="2"/>
  <c r="O233" i="2"/>
  <c r="BL151" i="2"/>
  <c r="B234" i="2" s="1"/>
  <c r="D234" i="2" s="1"/>
  <c r="BL152" i="2"/>
  <c r="BM152" i="2" s="1"/>
  <c r="BL156" i="2"/>
  <c r="BM156" i="2" s="1"/>
  <c r="BL155" i="2"/>
  <c r="BM155" i="2" s="1"/>
  <c r="BL158" i="2"/>
  <c r="BM158" i="2" s="1"/>
  <c r="BL162" i="2"/>
  <c r="BM162" i="2" s="1"/>
  <c r="BL160" i="2"/>
  <c r="BM160" i="2" s="1"/>
  <c r="BL166" i="2"/>
  <c r="BM166" i="2" s="1"/>
  <c r="BL170" i="2"/>
  <c r="BM170" i="2" s="1"/>
  <c r="BL174" i="2"/>
  <c r="BM174" i="2" s="1"/>
  <c r="BL153" i="2"/>
  <c r="BM153" i="2" s="1"/>
  <c r="BL157" i="2"/>
  <c r="BM157" i="2" s="1"/>
  <c r="BL168" i="2"/>
  <c r="BM168" i="2" s="1"/>
  <c r="BL171" i="2"/>
  <c r="BM171" i="2" s="1"/>
  <c r="BL178" i="2"/>
  <c r="BM178" i="2" s="1"/>
  <c r="BL164" i="2"/>
  <c r="BM164" i="2" s="1"/>
  <c r="BL175" i="2"/>
  <c r="BM175" i="2" s="1"/>
  <c r="BL180" i="2"/>
  <c r="BM180" i="2" s="1"/>
  <c r="BL184" i="2"/>
  <c r="BM184" i="2" s="1"/>
  <c r="BL188" i="2"/>
  <c r="BM188" i="2" s="1"/>
  <c r="BL192" i="2"/>
  <c r="BM192" i="2" s="1"/>
  <c r="BL196" i="2"/>
  <c r="BM196" i="2" s="1"/>
  <c r="BL154" i="2"/>
  <c r="BM154" i="2" s="1"/>
  <c r="BL161" i="2"/>
  <c r="BM161" i="2" s="1"/>
  <c r="BL176" i="2"/>
  <c r="BM176" i="2" s="1"/>
  <c r="BL181" i="2"/>
  <c r="BM181" i="2" s="1"/>
  <c r="BL186" i="2"/>
  <c r="BM186" i="2" s="1"/>
  <c r="BL189" i="2"/>
  <c r="BM189" i="2" s="1"/>
  <c r="BL194" i="2"/>
  <c r="BM194" i="2" s="1"/>
  <c r="BL197" i="2"/>
  <c r="BM197" i="2" s="1"/>
  <c r="BL159" i="2"/>
  <c r="BM159" i="2" s="1"/>
  <c r="BL177" i="2"/>
  <c r="BM177" i="2" s="1"/>
  <c r="BL163" i="2"/>
  <c r="BM163" i="2" s="1"/>
  <c r="BL165" i="2"/>
  <c r="BM165" i="2" s="1"/>
  <c r="BL167" i="2"/>
  <c r="BM167" i="2" s="1"/>
  <c r="BL172" i="2"/>
  <c r="BM172" i="2" s="1"/>
  <c r="BL173" i="2"/>
  <c r="BM173" i="2" s="1"/>
  <c r="BL179" i="2"/>
  <c r="BM179" i="2" s="1"/>
  <c r="BL193" i="2"/>
  <c r="BM193" i="2" s="1"/>
  <c r="BL185" i="2"/>
  <c r="BM185" i="2" s="1"/>
  <c r="BL190" i="2"/>
  <c r="BM190" i="2" s="1"/>
  <c r="BL169" i="2"/>
  <c r="BM169" i="2" s="1"/>
  <c r="BL182" i="2"/>
  <c r="BM182" i="2" s="1"/>
  <c r="BL191" i="2"/>
  <c r="BM191" i="2" s="1"/>
  <c r="BL195" i="2"/>
  <c r="BM195" i="2" s="1"/>
  <c r="BL183" i="2"/>
  <c r="BM183" i="2" s="1"/>
  <c r="BL187" i="2"/>
  <c r="BM187" i="2" s="1"/>
  <c r="F233" i="2"/>
  <c r="V233" i="2" s="1"/>
  <c r="L233" i="2"/>
  <c r="N107" i="19" s="1"/>
  <c r="M233" i="2"/>
  <c r="E233" i="2"/>
  <c r="G233" i="2"/>
  <c r="R233" i="2"/>
  <c r="J234" i="2" l="1"/>
  <c r="I234" i="2"/>
  <c r="H234" i="2"/>
  <c r="J108" i="1" s="1"/>
  <c r="K234" i="2"/>
  <c r="H107" i="19"/>
  <c r="H107" i="1"/>
  <c r="J107" i="19"/>
  <c r="K107" i="19"/>
  <c r="K107" i="1"/>
  <c r="L107" i="19"/>
  <c r="L107" i="1"/>
  <c r="O107" i="19"/>
  <c r="O107" i="1"/>
  <c r="M107" i="19"/>
  <c r="M107" i="1"/>
  <c r="W233" i="2"/>
  <c r="F108" i="19"/>
  <c r="N234" i="2"/>
  <c r="O107" i="15"/>
  <c r="O107" i="14"/>
  <c r="Y234" i="2" a="1"/>
  <c r="Y234" i="2" s="1"/>
  <c r="F108" i="15"/>
  <c r="F108" i="14"/>
  <c r="J107" i="14"/>
  <c r="J107" i="15"/>
  <c r="H107" i="14"/>
  <c r="H107" i="15"/>
  <c r="N107" i="15"/>
  <c r="N107" i="14"/>
  <c r="L107" i="15"/>
  <c r="L107" i="14"/>
  <c r="M107" i="15"/>
  <c r="M107" i="14"/>
  <c r="K107" i="15"/>
  <c r="K107" i="14"/>
  <c r="BM151" i="2"/>
  <c r="BN164" i="2" s="1"/>
  <c r="BO164" i="2" s="1"/>
  <c r="N107" i="1"/>
  <c r="F108" i="1"/>
  <c r="U233" i="2"/>
  <c r="G107" i="19" s="1"/>
  <c r="T233" i="2"/>
  <c r="AA233" i="2" s="1" a="1"/>
  <c r="AA233" i="2" s="1"/>
  <c r="P234" i="2"/>
  <c r="O234" i="2"/>
  <c r="C234" i="2"/>
  <c r="Q233" i="2"/>
  <c r="Z233" i="2" s="1" a="1"/>
  <c r="Z233" i="2" s="1"/>
  <c r="R234" i="2"/>
  <c r="L234" i="2"/>
  <c r="N108" i="19" s="1"/>
  <c r="M234" i="2"/>
  <c r="G234" i="2"/>
  <c r="F234" i="2"/>
  <c r="E234" i="2"/>
  <c r="U234" i="2" s="1"/>
  <c r="G108" i="19" s="1"/>
  <c r="J108" i="19" l="1"/>
  <c r="L108" i="19"/>
  <c r="L108" i="1"/>
  <c r="O108" i="19"/>
  <c r="O108" i="1"/>
  <c r="K108" i="19"/>
  <c r="K108" i="1"/>
  <c r="M108" i="19"/>
  <c r="M108" i="1"/>
  <c r="I107" i="19"/>
  <c r="I107" i="1"/>
  <c r="I107" i="15"/>
  <c r="I107" i="14"/>
  <c r="V234" i="2"/>
  <c r="H108" i="14" s="1"/>
  <c r="W234" i="2"/>
  <c r="T234" i="2"/>
  <c r="AA234" i="2" s="1" a="1"/>
  <c r="AA234" i="2" s="1"/>
  <c r="BN181" i="2"/>
  <c r="BO181" i="2" s="1"/>
  <c r="BN171" i="2"/>
  <c r="BO171" i="2" s="1"/>
  <c r="BN161" i="2"/>
  <c r="BO161" i="2" s="1"/>
  <c r="BN158" i="2"/>
  <c r="BO158" i="2" s="1"/>
  <c r="BN163" i="2"/>
  <c r="BO163" i="2" s="1"/>
  <c r="BN165" i="2"/>
  <c r="BO165" i="2" s="1"/>
  <c r="BN157" i="2"/>
  <c r="BO157" i="2" s="1"/>
  <c r="BN162" i="2"/>
  <c r="BO162" i="2" s="1"/>
  <c r="BN192" i="2"/>
  <c r="BO192" i="2" s="1"/>
  <c r="BN183" i="2"/>
  <c r="BO183" i="2" s="1"/>
  <c r="BN168" i="2"/>
  <c r="BO168" i="2" s="1"/>
  <c r="BN152" i="2"/>
  <c r="BO152" i="2" s="1"/>
  <c r="BN155" i="2"/>
  <c r="BO155" i="2" s="1"/>
  <c r="BN160" i="2"/>
  <c r="BO160" i="2" s="1"/>
  <c r="BN196" i="2"/>
  <c r="BO196" i="2" s="1"/>
  <c r="BN177" i="2"/>
  <c r="BO177" i="2" s="1"/>
  <c r="BN175" i="2"/>
  <c r="BO175" i="2" s="1"/>
  <c r="BN194" i="2"/>
  <c r="BO194" i="2" s="1"/>
  <c r="BN169" i="2"/>
  <c r="BO169" i="2" s="1"/>
  <c r="BN186" i="2"/>
  <c r="BO186" i="2" s="1"/>
  <c r="BN197" i="2"/>
  <c r="BO197" i="2" s="1"/>
  <c r="BN185" i="2"/>
  <c r="BO185" i="2" s="1"/>
  <c r="BN182" i="2"/>
  <c r="BO182" i="2" s="1"/>
  <c r="BN190" i="2"/>
  <c r="BO190" i="2" s="1"/>
  <c r="BN179" i="2"/>
  <c r="BO179" i="2" s="1"/>
  <c r="BN174" i="2"/>
  <c r="BO174" i="2" s="1"/>
  <c r="G107" i="14"/>
  <c r="G107" i="15"/>
  <c r="N108" i="15"/>
  <c r="N108" i="14"/>
  <c r="BN176" i="2"/>
  <c r="BO176" i="2" s="1"/>
  <c r="BN153" i="2"/>
  <c r="BO153" i="2" s="1"/>
  <c r="O108" i="15"/>
  <c r="O108" i="14"/>
  <c r="BN156" i="2"/>
  <c r="BO156" i="2" s="1"/>
  <c r="BN170" i="2"/>
  <c r="BO170" i="2" s="1"/>
  <c r="BN178" i="2"/>
  <c r="BO178" i="2" s="1"/>
  <c r="BN193" i="2"/>
  <c r="BO193" i="2" s="1"/>
  <c r="M108" i="15"/>
  <c r="M108" i="14"/>
  <c r="L108" i="14"/>
  <c r="L108" i="15"/>
  <c r="K108" i="14"/>
  <c r="K108" i="15"/>
  <c r="J108" i="14"/>
  <c r="J108" i="15"/>
  <c r="BN154" i="2"/>
  <c r="BO154" i="2" s="1"/>
  <c r="BN187" i="2"/>
  <c r="BO187" i="2" s="1"/>
  <c r="BN188" i="2"/>
  <c r="BO188" i="2" s="1"/>
  <c r="BN159" i="2"/>
  <c r="BO159" i="2" s="1"/>
  <c r="G108" i="15"/>
  <c r="G108" i="14"/>
  <c r="BN151" i="2"/>
  <c r="B235" i="2" s="1"/>
  <c r="D235" i="2" s="1"/>
  <c r="BN184" i="2"/>
  <c r="BO184" i="2" s="1"/>
  <c r="BN180" i="2"/>
  <c r="BO180" i="2" s="1"/>
  <c r="BN172" i="2"/>
  <c r="BO172" i="2" s="1"/>
  <c r="BN191" i="2"/>
  <c r="BO191" i="2" s="1"/>
  <c r="BN166" i="2"/>
  <c r="BO166" i="2" s="1"/>
  <c r="BN173" i="2"/>
  <c r="BO173" i="2" s="1"/>
  <c r="BN189" i="2"/>
  <c r="BO189" i="2" s="1"/>
  <c r="BN195" i="2"/>
  <c r="BO195" i="2" s="1"/>
  <c r="BN167" i="2"/>
  <c r="BO167" i="2" s="1"/>
  <c r="X233" i="2"/>
  <c r="G107" i="1"/>
  <c r="G108" i="1"/>
  <c r="N108" i="1"/>
  <c r="S233" i="2"/>
  <c r="Q234" i="2"/>
  <c r="Z234" i="2" s="1" a="1"/>
  <c r="Z234" i="2" s="1"/>
  <c r="J235" i="2" l="1"/>
  <c r="I235" i="2"/>
  <c r="H235" i="2"/>
  <c r="J109" i="1" s="1"/>
  <c r="K235" i="2"/>
  <c r="H108" i="15"/>
  <c r="I108" i="19"/>
  <c r="I108" i="1"/>
  <c r="H108" i="19"/>
  <c r="H108" i="1"/>
  <c r="I108" i="14"/>
  <c r="X234" i="2"/>
  <c r="I108" i="15"/>
  <c r="F109" i="19"/>
  <c r="N235" i="2"/>
  <c r="BO151" i="2"/>
  <c r="BP169" i="2" s="1"/>
  <c r="BQ169" i="2" s="1"/>
  <c r="C235" i="2"/>
  <c r="Y235" i="2" a="1"/>
  <c r="Y235" i="2" s="1"/>
  <c r="F109" i="15"/>
  <c r="F109" i="14"/>
  <c r="S234" i="2"/>
  <c r="F109" i="1"/>
  <c r="P235" i="2"/>
  <c r="O235" i="2"/>
  <c r="F235" i="2"/>
  <c r="R235" i="2"/>
  <c r="L235" i="2"/>
  <c r="N109" i="19" s="1"/>
  <c r="G235" i="2"/>
  <c r="M235" i="2"/>
  <c r="E235" i="2"/>
  <c r="L109" i="19" l="1"/>
  <c r="L109" i="1"/>
  <c r="J109" i="19"/>
  <c r="K109" i="19"/>
  <c r="K109" i="1"/>
  <c r="M109" i="19"/>
  <c r="M109" i="1"/>
  <c r="O109" i="19"/>
  <c r="O109" i="1"/>
  <c r="BP190" i="2"/>
  <c r="BQ190" i="2" s="1"/>
  <c r="BP181" i="2"/>
  <c r="BQ181" i="2" s="1"/>
  <c r="BP189" i="2"/>
  <c r="BQ189" i="2" s="1"/>
  <c r="BP194" i="2"/>
  <c r="BQ194" i="2" s="1"/>
  <c r="BP197" i="2"/>
  <c r="BQ197" i="2" s="1"/>
  <c r="BP191" i="2"/>
  <c r="BQ191" i="2" s="1"/>
  <c r="BP182" i="2"/>
  <c r="BQ182" i="2" s="1"/>
  <c r="BP157" i="2"/>
  <c r="BQ157" i="2" s="1"/>
  <c r="BP195" i="2"/>
  <c r="BQ195" i="2" s="1"/>
  <c r="BP175" i="2"/>
  <c r="BQ175" i="2" s="1"/>
  <c r="BP163" i="2"/>
  <c r="BQ163" i="2" s="1"/>
  <c r="V235" i="2"/>
  <c r="BP188" i="2"/>
  <c r="BQ188" i="2" s="1"/>
  <c r="BP185" i="2"/>
  <c r="BQ185" i="2" s="1"/>
  <c r="BP172" i="2"/>
  <c r="BQ172" i="2" s="1"/>
  <c r="BP176" i="2"/>
  <c r="BQ176" i="2" s="1"/>
  <c r="BP164" i="2"/>
  <c r="BQ164" i="2" s="1"/>
  <c r="BP173" i="2"/>
  <c r="BQ173" i="2" s="1"/>
  <c r="BP170" i="2"/>
  <c r="BQ170" i="2" s="1"/>
  <c r="BP183" i="2"/>
  <c r="BQ183" i="2" s="1"/>
  <c r="BP166" i="2"/>
  <c r="BQ166" i="2" s="1"/>
  <c r="U235" i="2"/>
  <c r="G109" i="19" s="1"/>
  <c r="W235" i="2"/>
  <c r="BP186" i="2"/>
  <c r="BQ186" i="2" s="1"/>
  <c r="BP178" i="2"/>
  <c r="BQ178" i="2" s="1"/>
  <c r="BP174" i="2"/>
  <c r="BQ174" i="2" s="1"/>
  <c r="T235" i="2"/>
  <c r="AA235" i="2" s="1" a="1"/>
  <c r="AA235" i="2" s="1"/>
  <c r="BP177" i="2"/>
  <c r="BQ177" i="2" s="1"/>
  <c r="BP161" i="2"/>
  <c r="BQ161" i="2" s="1"/>
  <c r="BP153" i="2"/>
  <c r="BQ153" i="2" s="1"/>
  <c r="BP162" i="2"/>
  <c r="BQ162" i="2" s="1"/>
  <c r="BP187" i="2"/>
  <c r="BQ187" i="2" s="1"/>
  <c r="BP158" i="2"/>
  <c r="BQ158" i="2" s="1"/>
  <c r="BP155" i="2"/>
  <c r="BQ155" i="2" s="1"/>
  <c r="BP171" i="2"/>
  <c r="BQ171" i="2" s="1"/>
  <c r="BP160" i="2"/>
  <c r="BQ160" i="2" s="1"/>
  <c r="BP196" i="2"/>
  <c r="BQ196" i="2" s="1"/>
  <c r="BP192" i="2"/>
  <c r="BQ192" i="2" s="1"/>
  <c r="BP159" i="2"/>
  <c r="BQ159" i="2" s="1"/>
  <c r="BP168" i="2"/>
  <c r="BQ168" i="2" s="1"/>
  <c r="BP184" i="2"/>
  <c r="BQ184" i="2" s="1"/>
  <c r="BP152" i="2"/>
  <c r="BQ152" i="2" s="1"/>
  <c r="BP193" i="2"/>
  <c r="BQ193" i="2" s="1"/>
  <c r="BP167" i="2"/>
  <c r="BQ167" i="2" s="1"/>
  <c r="BP180" i="2"/>
  <c r="BQ180" i="2" s="1"/>
  <c r="BP156" i="2"/>
  <c r="BQ156" i="2" s="1"/>
  <c r="BP154" i="2"/>
  <c r="BQ154" i="2" s="1"/>
  <c r="BP151" i="2"/>
  <c r="B236" i="2" s="1"/>
  <c r="C236" i="2" s="1"/>
  <c r="BP165" i="2"/>
  <c r="BQ165" i="2" s="1"/>
  <c r="BP179" i="2"/>
  <c r="BQ179" i="2" s="1"/>
  <c r="M109" i="14"/>
  <c r="M109" i="15"/>
  <c r="N109" i="14"/>
  <c r="N109" i="15"/>
  <c r="O109" i="15"/>
  <c r="O109" i="14"/>
  <c r="L109" i="14"/>
  <c r="L109" i="15"/>
  <c r="K109" i="14"/>
  <c r="K109" i="15"/>
  <c r="J109" i="14"/>
  <c r="J109" i="15"/>
  <c r="N109" i="1"/>
  <c r="Q235" i="2"/>
  <c r="Z235" i="2" s="1" a="1"/>
  <c r="Z235" i="2" s="1"/>
  <c r="I109" i="19" l="1"/>
  <c r="I109" i="1"/>
  <c r="H109" i="19"/>
  <c r="H109" i="1"/>
  <c r="G109" i="1"/>
  <c r="H109" i="14"/>
  <c r="G109" i="14"/>
  <c r="G109" i="15"/>
  <c r="H109" i="15"/>
  <c r="I109" i="14"/>
  <c r="I109" i="15"/>
  <c r="X235" i="2"/>
  <c r="D236" i="2"/>
  <c r="BQ151" i="2"/>
  <c r="BR154" i="2" s="1"/>
  <c r="BS154" i="2" s="1"/>
  <c r="S235" i="2"/>
  <c r="H236" i="2" l="1"/>
  <c r="J110" i="1" s="1"/>
  <c r="J236" i="2"/>
  <c r="I236" i="2"/>
  <c r="K236" i="2"/>
  <c r="F110" i="19"/>
  <c r="N236" i="2"/>
  <c r="R236" i="2"/>
  <c r="E236" i="2"/>
  <c r="F236" i="2"/>
  <c r="L236" i="2"/>
  <c r="N110" i="19" s="1"/>
  <c r="O236" i="2"/>
  <c r="P236" i="2"/>
  <c r="BR189" i="2"/>
  <c r="BS189" i="2" s="1"/>
  <c r="BR191" i="2"/>
  <c r="BS191" i="2" s="1"/>
  <c r="BR196" i="2"/>
  <c r="BS196" i="2" s="1"/>
  <c r="BR188" i="2"/>
  <c r="BS188" i="2" s="1"/>
  <c r="BR159" i="2"/>
  <c r="BS159" i="2" s="1"/>
  <c r="BR187" i="2"/>
  <c r="BS187" i="2" s="1"/>
  <c r="BR162" i="2"/>
  <c r="BS162" i="2" s="1"/>
  <c r="BR192" i="2"/>
  <c r="BS192" i="2" s="1"/>
  <c r="BR168" i="2"/>
  <c r="BS168" i="2" s="1"/>
  <c r="BR167" i="2"/>
  <c r="BS167" i="2" s="1"/>
  <c r="BR181" i="2"/>
  <c r="BS181" i="2" s="1"/>
  <c r="BR185" i="2"/>
  <c r="BS185" i="2" s="1"/>
  <c r="BR165" i="2"/>
  <c r="BS165" i="2" s="1"/>
  <c r="M236" i="2"/>
  <c r="G236" i="2"/>
  <c r="BR182" i="2"/>
  <c r="BS182" i="2" s="1"/>
  <c r="BR158" i="2"/>
  <c r="BS158" i="2" s="1"/>
  <c r="BR193" i="2"/>
  <c r="BS193" i="2" s="1"/>
  <c r="BR163" i="2"/>
  <c r="BS163" i="2" s="1"/>
  <c r="BR174" i="2"/>
  <c r="BS174" i="2" s="1"/>
  <c r="BR157" i="2"/>
  <c r="BS157" i="2" s="1"/>
  <c r="BR179" i="2"/>
  <c r="BS179" i="2" s="1"/>
  <c r="BR173" i="2"/>
  <c r="BS173" i="2" s="1"/>
  <c r="BR170" i="2"/>
  <c r="BS170" i="2" s="1"/>
  <c r="BR176" i="2"/>
  <c r="BS176" i="2" s="1"/>
  <c r="BR172" i="2"/>
  <c r="BS172" i="2" s="1"/>
  <c r="BR161" i="2"/>
  <c r="BS161" i="2" s="1"/>
  <c r="BR164" i="2"/>
  <c r="BS164" i="2" s="1"/>
  <c r="BR152" i="2"/>
  <c r="BS152" i="2" s="1"/>
  <c r="BR177" i="2"/>
  <c r="BS177" i="2" s="1"/>
  <c r="BR195" i="2"/>
  <c r="BS195" i="2" s="1"/>
  <c r="BR156" i="2"/>
  <c r="BS156" i="2" s="1"/>
  <c r="BR194" i="2"/>
  <c r="BS194" i="2" s="1"/>
  <c r="BR153" i="2"/>
  <c r="BS153" i="2" s="1"/>
  <c r="BR160" i="2"/>
  <c r="BS160" i="2" s="1"/>
  <c r="BR190" i="2"/>
  <c r="BS190" i="2" s="1"/>
  <c r="BR180" i="2"/>
  <c r="BS180" i="2" s="1"/>
  <c r="BR184" i="2"/>
  <c r="BS184" i="2" s="1"/>
  <c r="BR175" i="2"/>
  <c r="BS175" i="2" s="1"/>
  <c r="BR186" i="2"/>
  <c r="BS186" i="2" s="1"/>
  <c r="BR197" i="2"/>
  <c r="BS197" i="2" s="1"/>
  <c r="BR169" i="2"/>
  <c r="BS169" i="2" s="1"/>
  <c r="BR178" i="2"/>
  <c r="BS178" i="2" s="1"/>
  <c r="BR171" i="2"/>
  <c r="BS171" i="2" s="1"/>
  <c r="BR166" i="2"/>
  <c r="BS166" i="2" s="1"/>
  <c r="F110" i="1"/>
  <c r="F110" i="15"/>
  <c r="Y236" i="2" a="1"/>
  <c r="Y236" i="2" s="1"/>
  <c r="F110" i="14"/>
  <c r="BR155" i="2"/>
  <c r="BS155" i="2" s="1"/>
  <c r="BR183" i="2"/>
  <c r="BS183" i="2" s="1"/>
  <c r="BR151" i="2"/>
  <c r="BS151" i="2" s="1"/>
  <c r="U236" i="2" l="1"/>
  <c r="G110" i="19" s="1"/>
  <c r="J110" i="19"/>
  <c r="M110" i="19"/>
  <c r="M110" i="1"/>
  <c r="L110" i="19"/>
  <c r="L110" i="1"/>
  <c r="K110" i="19"/>
  <c r="K110" i="1"/>
  <c r="O110" i="19"/>
  <c r="O110" i="1"/>
  <c r="V236" i="2"/>
  <c r="H110" i="15" s="1"/>
  <c r="W236" i="2"/>
  <c r="I110" i="15" s="1"/>
  <c r="N110" i="15"/>
  <c r="N110" i="14"/>
  <c r="Q236" i="2"/>
  <c r="Z236" i="2" s="1" a="1"/>
  <c r="Z236" i="2" s="1"/>
  <c r="T236" i="2"/>
  <c r="AA236" i="2" s="1" a="1"/>
  <c r="AA236" i="2" s="1"/>
  <c r="K110" i="14"/>
  <c r="K110" i="15"/>
  <c r="L110" i="14"/>
  <c r="J110" i="15"/>
  <c r="L110" i="15"/>
  <c r="N110" i="1"/>
  <c r="M110" i="14"/>
  <c r="M110" i="15"/>
  <c r="J110" i="14"/>
  <c r="O110" i="14"/>
  <c r="O110" i="15"/>
  <c r="BT157" i="2"/>
  <c r="BU157" i="2" s="1"/>
  <c r="BT168" i="2"/>
  <c r="BU168" i="2" s="1"/>
  <c r="BT167" i="2"/>
  <c r="BU167" i="2" s="1"/>
  <c r="BT165" i="2"/>
  <c r="BU165" i="2" s="1"/>
  <c r="BT154" i="2"/>
  <c r="BU154" i="2" s="1"/>
  <c r="BT196" i="2"/>
  <c r="BU196" i="2" s="1"/>
  <c r="BT163" i="2"/>
  <c r="BU163" i="2" s="1"/>
  <c r="BT189" i="2"/>
  <c r="BU189" i="2" s="1"/>
  <c r="BT170" i="2"/>
  <c r="BU170" i="2" s="1"/>
  <c r="BT195" i="2"/>
  <c r="BU195" i="2" s="1"/>
  <c r="BT186" i="2"/>
  <c r="BU186" i="2" s="1"/>
  <c r="BT166" i="2"/>
  <c r="BU166" i="2" s="1"/>
  <c r="BT183" i="2"/>
  <c r="BU183" i="2" s="1"/>
  <c r="BT164" i="2"/>
  <c r="BU164" i="2" s="1"/>
  <c r="BT153" i="2"/>
  <c r="BU153" i="2" s="1"/>
  <c r="BT161" i="2"/>
  <c r="BU161" i="2" s="1"/>
  <c r="B237" i="2"/>
  <c r="C237" i="2" s="1"/>
  <c r="BT193" i="2"/>
  <c r="BU193" i="2" s="1"/>
  <c r="BT182" i="2"/>
  <c r="BU182" i="2" s="1"/>
  <c r="BT171" i="2"/>
  <c r="BU171" i="2" s="1"/>
  <c r="BT192" i="2"/>
  <c r="BU192" i="2" s="1"/>
  <c r="BT159" i="2"/>
  <c r="BU159" i="2" s="1"/>
  <c r="BT191" i="2"/>
  <c r="BU191" i="2" s="1"/>
  <c r="BT188" i="2"/>
  <c r="BU188" i="2" s="1"/>
  <c r="BT179" i="2"/>
  <c r="BU179" i="2" s="1"/>
  <c r="BT184" i="2"/>
  <c r="BU184" i="2" s="1"/>
  <c r="BT155" i="2"/>
  <c r="BU155" i="2" s="1"/>
  <c r="BT160" i="2"/>
  <c r="BU160" i="2" s="1"/>
  <c r="BT175" i="2"/>
  <c r="BU175" i="2" s="1"/>
  <c r="BT180" i="2"/>
  <c r="BU180" i="2" s="1"/>
  <c r="BT152" i="2"/>
  <c r="BU152" i="2" s="1"/>
  <c r="BT173" i="2"/>
  <c r="BU173" i="2" s="1"/>
  <c r="BT151" i="2"/>
  <c r="BU151" i="2" s="1"/>
  <c r="BT187" i="2"/>
  <c r="BU187" i="2" s="1"/>
  <c r="BT172" i="2"/>
  <c r="BU172" i="2" s="1"/>
  <c r="BT162" i="2"/>
  <c r="BU162" i="2" s="1"/>
  <c r="BT181" i="2"/>
  <c r="BU181" i="2" s="1"/>
  <c r="BT176" i="2"/>
  <c r="BU176" i="2" s="1"/>
  <c r="BT177" i="2"/>
  <c r="BU177" i="2" s="1"/>
  <c r="BT169" i="2"/>
  <c r="BU169" i="2" s="1"/>
  <c r="BT156" i="2"/>
  <c r="BU156" i="2" s="1"/>
  <c r="BT197" i="2"/>
  <c r="BU197" i="2" s="1"/>
  <c r="BT190" i="2"/>
  <c r="BU190" i="2" s="1"/>
  <c r="BT178" i="2"/>
  <c r="BU178" i="2" s="1"/>
  <c r="BT158" i="2"/>
  <c r="BU158" i="2" s="1"/>
  <c r="BT194" i="2"/>
  <c r="BU194" i="2" s="1"/>
  <c r="BT185" i="2"/>
  <c r="BU185" i="2" s="1"/>
  <c r="BT174" i="2"/>
  <c r="BU174" i="2" s="1"/>
  <c r="G110" i="14" l="1"/>
  <c r="G110" i="15"/>
  <c r="G110" i="1"/>
  <c r="I110" i="19"/>
  <c r="I110" i="1"/>
  <c r="H110" i="19"/>
  <c r="H110" i="1"/>
  <c r="H110" i="14"/>
  <c r="I110" i="14"/>
  <c r="S236" i="2"/>
  <c r="X236" i="2"/>
  <c r="D237" i="2"/>
  <c r="B238" i="2"/>
  <c r="C238" i="2" s="1"/>
  <c r="BV151" i="2"/>
  <c r="BV154" i="2"/>
  <c r="BW154" i="2" s="1"/>
  <c r="BV152" i="2"/>
  <c r="BW152" i="2" s="1"/>
  <c r="BV160" i="2"/>
  <c r="BW160" i="2" s="1"/>
  <c r="BV153" i="2"/>
  <c r="BW153" i="2" s="1"/>
  <c r="BV157" i="2"/>
  <c r="BW157" i="2" s="1"/>
  <c r="BV158" i="2"/>
  <c r="BW158" i="2" s="1"/>
  <c r="BV163" i="2"/>
  <c r="BW163" i="2" s="1"/>
  <c r="BV168" i="2"/>
  <c r="BW168" i="2" s="1"/>
  <c r="BV172" i="2"/>
  <c r="BW172" i="2" s="1"/>
  <c r="BV155" i="2"/>
  <c r="BW155" i="2" s="1"/>
  <c r="BV162" i="2"/>
  <c r="BW162" i="2" s="1"/>
  <c r="BV166" i="2"/>
  <c r="BW166" i="2" s="1"/>
  <c r="BV176" i="2"/>
  <c r="BW176" i="2" s="1"/>
  <c r="BV159" i="2"/>
  <c r="BW159" i="2" s="1"/>
  <c r="BV171" i="2"/>
  <c r="BW171" i="2" s="1"/>
  <c r="BV173" i="2"/>
  <c r="BW173" i="2" s="1"/>
  <c r="BV178" i="2"/>
  <c r="BW178" i="2" s="1"/>
  <c r="BV182" i="2"/>
  <c r="BW182" i="2" s="1"/>
  <c r="BV186" i="2"/>
  <c r="BW186" i="2" s="1"/>
  <c r="BV190" i="2"/>
  <c r="BW190" i="2" s="1"/>
  <c r="BV194" i="2"/>
  <c r="BW194" i="2" s="1"/>
  <c r="BV170" i="2"/>
  <c r="BW170" i="2" s="1"/>
  <c r="BV184" i="2"/>
  <c r="BW184" i="2" s="1"/>
  <c r="BV192" i="2"/>
  <c r="BW192" i="2" s="1"/>
  <c r="BV164" i="2"/>
  <c r="BW164" i="2" s="1"/>
  <c r="BV169" i="2"/>
  <c r="BW169" i="2" s="1"/>
  <c r="BV180" i="2"/>
  <c r="BW180" i="2" s="1"/>
  <c r="BV189" i="2"/>
  <c r="BW189" i="2" s="1"/>
  <c r="BV191" i="2"/>
  <c r="BW191" i="2" s="1"/>
  <c r="BV195" i="2"/>
  <c r="BW195" i="2" s="1"/>
  <c r="BV156" i="2"/>
  <c r="BW156" i="2" s="1"/>
  <c r="BV174" i="2"/>
  <c r="BW174" i="2" s="1"/>
  <c r="BV181" i="2"/>
  <c r="BW181" i="2" s="1"/>
  <c r="BV183" i="2"/>
  <c r="BW183" i="2" s="1"/>
  <c r="BV187" i="2"/>
  <c r="BW187" i="2" s="1"/>
  <c r="BV193" i="2"/>
  <c r="BW193" i="2" s="1"/>
  <c r="BV165" i="2"/>
  <c r="BW165" i="2" s="1"/>
  <c r="BV167" i="2"/>
  <c r="BW167" i="2" s="1"/>
  <c r="BV175" i="2"/>
  <c r="BW175" i="2" s="1"/>
  <c r="BV177" i="2"/>
  <c r="BW177" i="2" s="1"/>
  <c r="BV179" i="2"/>
  <c r="BW179" i="2" s="1"/>
  <c r="BV185" i="2"/>
  <c r="BW185" i="2" s="1"/>
  <c r="BV196" i="2"/>
  <c r="BW196" i="2" s="1"/>
  <c r="BV161" i="2"/>
  <c r="BW161" i="2" s="1"/>
  <c r="BV188" i="2"/>
  <c r="BW188" i="2" s="1"/>
  <c r="BV197" i="2"/>
  <c r="BW197" i="2" s="1"/>
  <c r="Q237" i="2" l="1"/>
  <c r="Z237" i="2" s="1" a="1"/>
  <c r="Z237" i="2" s="1"/>
  <c r="H237" i="2"/>
  <c r="J111" i="1" s="1"/>
  <c r="J237" i="2"/>
  <c r="I237" i="2"/>
  <c r="K237" i="2"/>
  <c r="M111" i="15" s="1"/>
  <c r="F111" i="19"/>
  <c r="N237" i="2"/>
  <c r="V237" i="2"/>
  <c r="M237" i="2"/>
  <c r="W237" i="2"/>
  <c r="G237" i="2"/>
  <c r="E237" i="2"/>
  <c r="T237" i="2"/>
  <c r="AA237" i="2" s="1" a="1"/>
  <c r="AA237" i="2" s="1"/>
  <c r="D238" i="2"/>
  <c r="R237" i="2"/>
  <c r="P237" i="2"/>
  <c r="L237" i="2"/>
  <c r="N111" i="19" s="1"/>
  <c r="F111" i="1"/>
  <c r="F111" i="15"/>
  <c r="U237" i="2"/>
  <c r="G111" i="19" s="1"/>
  <c r="F237" i="2"/>
  <c r="O237" i="2"/>
  <c r="F111" i="14"/>
  <c r="Y237" i="2" a="1"/>
  <c r="Y237" i="2" s="1"/>
  <c r="B239" i="2"/>
  <c r="BW151" i="2"/>
  <c r="S237" i="2" l="1"/>
  <c r="H238" i="2"/>
  <c r="J112" i="1" s="1"/>
  <c r="K238" i="2"/>
  <c r="J238" i="2"/>
  <c r="I238" i="2"/>
  <c r="K111" i="19"/>
  <c r="K111" i="1"/>
  <c r="O111" i="19"/>
  <c r="O111" i="1"/>
  <c r="J111" i="19"/>
  <c r="L111" i="19"/>
  <c r="L111" i="1"/>
  <c r="I111" i="19"/>
  <c r="I111" i="1"/>
  <c r="H111" i="19"/>
  <c r="H111" i="1"/>
  <c r="M111" i="19"/>
  <c r="M111" i="1"/>
  <c r="I111" i="14"/>
  <c r="O111" i="15"/>
  <c r="I111" i="15"/>
  <c r="K111" i="15"/>
  <c r="K111" i="14"/>
  <c r="O111" i="14"/>
  <c r="J111" i="14"/>
  <c r="H111" i="15"/>
  <c r="J111" i="15"/>
  <c r="H111" i="14"/>
  <c r="M111" i="14"/>
  <c r="F112" i="19"/>
  <c r="N238" i="2"/>
  <c r="L111" i="15"/>
  <c r="L111" i="14"/>
  <c r="N111" i="1"/>
  <c r="F112" i="1"/>
  <c r="W238" i="2"/>
  <c r="F238" i="2"/>
  <c r="T238" i="2"/>
  <c r="AA238" i="2" s="1" a="1"/>
  <c r="AA238" i="2" s="1"/>
  <c r="O238" i="2"/>
  <c r="V238" i="2"/>
  <c r="U238" i="2"/>
  <c r="G112" i="19" s="1"/>
  <c r="X237" i="2"/>
  <c r="M238" i="2"/>
  <c r="P238" i="2"/>
  <c r="G238" i="2"/>
  <c r="E238" i="2"/>
  <c r="L238" i="2"/>
  <c r="N112" i="19" s="1"/>
  <c r="R238" i="2"/>
  <c r="F112" i="15"/>
  <c r="F112" i="14"/>
  <c r="Y238" i="2" a="1"/>
  <c r="Y238" i="2" s="1"/>
  <c r="N111" i="14"/>
  <c r="N111" i="15"/>
  <c r="G111" i="1"/>
  <c r="G111" i="14"/>
  <c r="G111" i="15"/>
  <c r="BX151" i="2"/>
  <c r="BX152" i="2"/>
  <c r="BY152" i="2" s="1"/>
  <c r="BX153" i="2"/>
  <c r="BY153" i="2" s="1"/>
  <c r="BX156" i="2"/>
  <c r="BY156" i="2" s="1"/>
  <c r="BX155" i="2"/>
  <c r="BY155" i="2" s="1"/>
  <c r="BX158" i="2"/>
  <c r="BY158" i="2" s="1"/>
  <c r="BX162" i="2"/>
  <c r="BY162" i="2" s="1"/>
  <c r="BX159" i="2"/>
  <c r="BY159" i="2" s="1"/>
  <c r="BX166" i="2"/>
  <c r="BY166" i="2" s="1"/>
  <c r="BX170" i="2"/>
  <c r="BY170" i="2" s="1"/>
  <c r="BX157" i="2"/>
  <c r="BY157" i="2" s="1"/>
  <c r="BX164" i="2"/>
  <c r="BY164" i="2" s="1"/>
  <c r="BX165" i="2"/>
  <c r="BY165" i="2" s="1"/>
  <c r="BX173" i="2"/>
  <c r="BY173" i="2" s="1"/>
  <c r="BX174" i="2"/>
  <c r="BY174" i="2" s="1"/>
  <c r="BX154" i="2"/>
  <c r="BY154" i="2" s="1"/>
  <c r="BX163" i="2"/>
  <c r="BY163" i="2" s="1"/>
  <c r="BX167" i="2"/>
  <c r="BY167" i="2" s="1"/>
  <c r="BX172" i="2"/>
  <c r="BY172" i="2" s="1"/>
  <c r="BX177" i="2"/>
  <c r="BY177" i="2" s="1"/>
  <c r="BX180" i="2"/>
  <c r="BY180" i="2" s="1"/>
  <c r="BX184" i="2"/>
  <c r="BY184" i="2" s="1"/>
  <c r="BX188" i="2"/>
  <c r="BY188" i="2" s="1"/>
  <c r="BX192" i="2"/>
  <c r="BY192" i="2" s="1"/>
  <c r="BX196" i="2"/>
  <c r="BY196" i="2" s="1"/>
  <c r="BX175" i="2"/>
  <c r="BY175" i="2" s="1"/>
  <c r="BX183" i="2"/>
  <c r="BY183" i="2" s="1"/>
  <c r="BX191" i="2"/>
  <c r="BY191" i="2" s="1"/>
  <c r="BX160" i="2"/>
  <c r="BY160" i="2" s="1"/>
  <c r="BX171" i="2"/>
  <c r="BY171" i="2" s="1"/>
  <c r="BX161" i="2"/>
  <c r="BY161" i="2" s="1"/>
  <c r="BX185" i="2"/>
  <c r="BY185" i="2" s="1"/>
  <c r="BX190" i="2"/>
  <c r="BY190" i="2" s="1"/>
  <c r="BX194" i="2"/>
  <c r="BY194" i="2" s="1"/>
  <c r="BX197" i="2"/>
  <c r="BY197" i="2" s="1"/>
  <c r="BX168" i="2"/>
  <c r="BY168" i="2" s="1"/>
  <c r="BX169" i="2"/>
  <c r="BY169" i="2" s="1"/>
  <c r="BX182" i="2"/>
  <c r="BY182" i="2" s="1"/>
  <c r="BX186" i="2"/>
  <c r="BY186" i="2" s="1"/>
  <c r="BX189" i="2"/>
  <c r="BY189" i="2" s="1"/>
  <c r="BX195" i="2"/>
  <c r="BY195" i="2" s="1"/>
  <c r="BX176" i="2"/>
  <c r="BY176" i="2" s="1"/>
  <c r="BX178" i="2"/>
  <c r="BY178" i="2" s="1"/>
  <c r="BX181" i="2"/>
  <c r="BY181" i="2" s="1"/>
  <c r="BX187" i="2"/>
  <c r="BY187" i="2" s="1"/>
  <c r="BX179" i="2"/>
  <c r="BY179" i="2" s="1"/>
  <c r="BX193" i="2"/>
  <c r="BY193" i="2" s="1"/>
  <c r="Q238" i="2"/>
  <c r="Z238" i="2" s="1" a="1"/>
  <c r="Z238" i="2" s="1"/>
  <c r="C239" i="2"/>
  <c r="D239" i="2"/>
  <c r="J239" i="2" l="1"/>
  <c r="I239" i="2"/>
  <c r="K239" i="2"/>
  <c r="H239" i="2"/>
  <c r="J113" i="1" s="1"/>
  <c r="H112" i="19"/>
  <c r="H112" i="1"/>
  <c r="J112" i="19"/>
  <c r="L112" i="19"/>
  <c r="L112" i="1"/>
  <c r="I112" i="19"/>
  <c r="I112" i="1"/>
  <c r="M112" i="19"/>
  <c r="M112" i="1"/>
  <c r="O112" i="19"/>
  <c r="O112" i="1"/>
  <c r="K112" i="19"/>
  <c r="K112" i="1"/>
  <c r="H112" i="14"/>
  <c r="I112" i="15"/>
  <c r="F113" i="19"/>
  <c r="N239" i="2"/>
  <c r="I112" i="14"/>
  <c r="H112" i="15"/>
  <c r="X238" i="2"/>
  <c r="N112" i="1"/>
  <c r="G112" i="15"/>
  <c r="G112" i="14"/>
  <c r="G112" i="1"/>
  <c r="O112" i="14"/>
  <c r="M112" i="14"/>
  <c r="M112" i="15"/>
  <c r="J112" i="15"/>
  <c r="O112" i="15"/>
  <c r="L112" i="15"/>
  <c r="N112" i="14"/>
  <c r="N112" i="15"/>
  <c r="J112" i="14"/>
  <c r="L112" i="14"/>
  <c r="K112" i="15"/>
  <c r="K112" i="14"/>
  <c r="Y239" i="2" a="1"/>
  <c r="Y239" i="2" s="1"/>
  <c r="F113" i="14"/>
  <c r="F113" i="15"/>
  <c r="S238" i="2"/>
  <c r="W239" i="2"/>
  <c r="F113" i="1"/>
  <c r="V239" i="2"/>
  <c r="U239" i="2"/>
  <c r="G113" i="19" s="1"/>
  <c r="T239" i="2"/>
  <c r="AA239" i="2" s="1" a="1"/>
  <c r="AA239" i="2" s="1"/>
  <c r="O239" i="2"/>
  <c r="P239" i="2"/>
  <c r="B240" i="2"/>
  <c r="BY151" i="2"/>
  <c r="M239" i="2"/>
  <c r="F239" i="2"/>
  <c r="G239" i="2"/>
  <c r="R239" i="2"/>
  <c r="L239" i="2"/>
  <c r="N113" i="19" s="1"/>
  <c r="E239" i="2"/>
  <c r="I113" i="19" l="1"/>
  <c r="I113" i="1"/>
  <c r="M113" i="19"/>
  <c r="M113" i="1"/>
  <c r="O113" i="19"/>
  <c r="O113" i="1"/>
  <c r="K113" i="19"/>
  <c r="K113" i="1"/>
  <c r="L113" i="19"/>
  <c r="L113" i="1"/>
  <c r="H113" i="19"/>
  <c r="H113" i="1"/>
  <c r="J113" i="19"/>
  <c r="G113" i="14"/>
  <c r="G113" i="15"/>
  <c r="O113" i="15"/>
  <c r="O113" i="14"/>
  <c r="K113" i="15"/>
  <c r="K113" i="14"/>
  <c r="N113" i="15"/>
  <c r="N113" i="14"/>
  <c r="H113" i="14"/>
  <c r="H113" i="15"/>
  <c r="I113" i="14"/>
  <c r="I113" i="15"/>
  <c r="M113" i="15"/>
  <c r="M113" i="14"/>
  <c r="L113" i="15"/>
  <c r="L113" i="14"/>
  <c r="J113" i="14"/>
  <c r="J113" i="15"/>
  <c r="X239" i="2"/>
  <c r="N113" i="1"/>
  <c r="G113" i="1"/>
  <c r="BZ151" i="2"/>
  <c r="BZ154" i="2"/>
  <c r="CA154" i="2" s="1"/>
  <c r="BZ152" i="2"/>
  <c r="CA152" i="2" s="1"/>
  <c r="BZ153" i="2"/>
  <c r="CA153" i="2" s="1"/>
  <c r="BZ155" i="2"/>
  <c r="CA155" i="2" s="1"/>
  <c r="BZ156" i="2"/>
  <c r="CA156" i="2" s="1"/>
  <c r="BZ157" i="2"/>
  <c r="CA157" i="2" s="1"/>
  <c r="BZ160" i="2"/>
  <c r="CA160" i="2" s="1"/>
  <c r="BZ159" i="2"/>
  <c r="CA159" i="2" s="1"/>
  <c r="BZ161" i="2"/>
  <c r="CA161" i="2" s="1"/>
  <c r="BZ163" i="2"/>
  <c r="CA163" i="2" s="1"/>
  <c r="BZ158" i="2"/>
  <c r="CA158" i="2" s="1"/>
  <c r="BZ168" i="2"/>
  <c r="CA168" i="2" s="1"/>
  <c r="BZ172" i="2"/>
  <c r="CA172" i="2" s="1"/>
  <c r="BZ167" i="2"/>
  <c r="CA167" i="2" s="1"/>
  <c r="BZ169" i="2"/>
  <c r="CA169" i="2" s="1"/>
  <c r="BZ176" i="2"/>
  <c r="CA176" i="2" s="1"/>
  <c r="BZ166" i="2"/>
  <c r="CA166" i="2" s="1"/>
  <c r="BZ178" i="2"/>
  <c r="CA178" i="2" s="1"/>
  <c r="BZ182" i="2"/>
  <c r="CA182" i="2" s="1"/>
  <c r="BZ186" i="2"/>
  <c r="CA186" i="2" s="1"/>
  <c r="BZ190" i="2"/>
  <c r="CA190" i="2" s="1"/>
  <c r="BZ194" i="2"/>
  <c r="CA194" i="2" s="1"/>
  <c r="BZ162" i="2"/>
  <c r="CA162" i="2" s="1"/>
  <c r="BZ165" i="2"/>
  <c r="CA165" i="2" s="1"/>
  <c r="BZ174" i="2"/>
  <c r="CA174" i="2" s="1"/>
  <c r="BZ179" i="2"/>
  <c r="CA179" i="2" s="1"/>
  <c r="BZ185" i="2"/>
  <c r="CA185" i="2" s="1"/>
  <c r="BZ187" i="2"/>
  <c r="CA187" i="2" s="1"/>
  <c r="BZ193" i="2"/>
  <c r="CA193" i="2" s="1"/>
  <c r="BZ195" i="2"/>
  <c r="CA195" i="2" s="1"/>
  <c r="BZ170" i="2"/>
  <c r="CA170" i="2" s="1"/>
  <c r="BZ173" i="2"/>
  <c r="CA173" i="2" s="1"/>
  <c r="BZ175" i="2"/>
  <c r="CA175" i="2" s="1"/>
  <c r="BZ177" i="2"/>
  <c r="CA177" i="2" s="1"/>
  <c r="BZ164" i="2"/>
  <c r="CA164" i="2" s="1"/>
  <c r="BZ184" i="2"/>
  <c r="CA184" i="2" s="1"/>
  <c r="BZ196" i="2"/>
  <c r="CA196" i="2" s="1"/>
  <c r="BZ188" i="2"/>
  <c r="CA188" i="2" s="1"/>
  <c r="BZ197" i="2"/>
  <c r="CA197" i="2" s="1"/>
  <c r="BZ180" i="2"/>
  <c r="CA180" i="2" s="1"/>
  <c r="BZ189" i="2"/>
  <c r="CA189" i="2" s="1"/>
  <c r="BZ191" i="2"/>
  <c r="CA191" i="2" s="1"/>
  <c r="BZ171" i="2"/>
  <c r="CA171" i="2" s="1"/>
  <c r="BZ181" i="2"/>
  <c r="CA181" i="2" s="1"/>
  <c r="BZ183" i="2"/>
  <c r="CA183" i="2" s="1"/>
  <c r="BZ192" i="2"/>
  <c r="CA192" i="2" s="1"/>
  <c r="Q239" i="2"/>
  <c r="Z239" i="2" s="1" a="1"/>
  <c r="Z239" i="2" s="1"/>
  <c r="D240" i="2"/>
  <c r="C240" i="2"/>
  <c r="K240" i="2" l="1"/>
  <c r="J240" i="2"/>
  <c r="H240" i="2"/>
  <c r="J114" i="1" s="1"/>
  <c r="I240" i="2"/>
  <c r="F114" i="19"/>
  <c r="N240" i="2"/>
  <c r="Y240" i="2" a="1"/>
  <c r="Y240" i="2" s="1"/>
  <c r="F114" i="15"/>
  <c r="F114" i="14"/>
  <c r="S239" i="2"/>
  <c r="W240" i="2"/>
  <c r="F114" i="1"/>
  <c r="V240" i="2"/>
  <c r="U240" i="2"/>
  <c r="G114" i="19" s="1"/>
  <c r="T240" i="2"/>
  <c r="AA240" i="2" s="1" a="1"/>
  <c r="AA240" i="2" s="1"/>
  <c r="O240" i="2"/>
  <c r="P240" i="2"/>
  <c r="L240" i="2"/>
  <c r="N114" i="19" s="1"/>
  <c r="G240" i="2"/>
  <c r="M240" i="2"/>
  <c r="E240" i="2"/>
  <c r="F240" i="2"/>
  <c r="R240" i="2"/>
  <c r="B241" i="2"/>
  <c r="CA151" i="2"/>
  <c r="I114" i="19" l="1"/>
  <c r="I114" i="1"/>
  <c r="L114" i="19"/>
  <c r="L114" i="1"/>
  <c r="O114" i="19"/>
  <c r="O114" i="1"/>
  <c r="H114" i="19"/>
  <c r="H114" i="1"/>
  <c r="K114" i="19"/>
  <c r="K114" i="1"/>
  <c r="J114" i="19"/>
  <c r="M114" i="19"/>
  <c r="M114" i="1"/>
  <c r="G114" i="15"/>
  <c r="G114" i="14"/>
  <c r="O114" i="15"/>
  <c r="O114" i="14"/>
  <c r="H114" i="14"/>
  <c r="H114" i="15"/>
  <c r="N114" i="15"/>
  <c r="N114" i="14"/>
  <c r="I114" i="14"/>
  <c r="I114" i="15"/>
  <c r="L114" i="14"/>
  <c r="L114" i="15"/>
  <c r="K114" i="14"/>
  <c r="K114" i="15"/>
  <c r="J114" i="14"/>
  <c r="J114" i="15"/>
  <c r="M114" i="15"/>
  <c r="M114" i="14"/>
  <c r="X240" i="2"/>
  <c r="N114" i="1"/>
  <c r="G114" i="1"/>
  <c r="CB151" i="2"/>
  <c r="CB152" i="2"/>
  <c r="CC152" i="2" s="1"/>
  <c r="CB156" i="2"/>
  <c r="CC156" i="2" s="1"/>
  <c r="CB154" i="2"/>
  <c r="CC154" i="2" s="1"/>
  <c r="CB158" i="2"/>
  <c r="CC158" i="2" s="1"/>
  <c r="CB157" i="2"/>
  <c r="CC157" i="2" s="1"/>
  <c r="CB160" i="2"/>
  <c r="CC160" i="2" s="1"/>
  <c r="CB155" i="2"/>
  <c r="CC155" i="2" s="1"/>
  <c r="CB161" i="2"/>
  <c r="CC161" i="2" s="1"/>
  <c r="CB166" i="2"/>
  <c r="CC166" i="2" s="1"/>
  <c r="CB170" i="2"/>
  <c r="CC170" i="2" s="1"/>
  <c r="CB163" i="2"/>
  <c r="CC163" i="2" s="1"/>
  <c r="CB168" i="2"/>
  <c r="CC168" i="2" s="1"/>
  <c r="CB171" i="2"/>
  <c r="CC171" i="2" s="1"/>
  <c r="CB174" i="2"/>
  <c r="CC174" i="2" s="1"/>
  <c r="CB153" i="2"/>
  <c r="CC153" i="2" s="1"/>
  <c r="CB162" i="2"/>
  <c r="CC162" i="2" s="1"/>
  <c r="CB165" i="2"/>
  <c r="CC165" i="2" s="1"/>
  <c r="CB169" i="2"/>
  <c r="CC169" i="2" s="1"/>
  <c r="CB175" i="2"/>
  <c r="CC175" i="2" s="1"/>
  <c r="CB180" i="2"/>
  <c r="CC180" i="2" s="1"/>
  <c r="CB184" i="2"/>
  <c r="CC184" i="2" s="1"/>
  <c r="CB188" i="2"/>
  <c r="CC188" i="2" s="1"/>
  <c r="CB192" i="2"/>
  <c r="CC192" i="2" s="1"/>
  <c r="CB196" i="2"/>
  <c r="CC196" i="2" s="1"/>
  <c r="CB178" i="2"/>
  <c r="CC178" i="2" s="1"/>
  <c r="CB181" i="2"/>
  <c r="CC181" i="2" s="1"/>
  <c r="CB186" i="2"/>
  <c r="CC186" i="2" s="1"/>
  <c r="CB189" i="2"/>
  <c r="CC189" i="2" s="1"/>
  <c r="CB194" i="2"/>
  <c r="CC194" i="2" s="1"/>
  <c r="CB197" i="2"/>
  <c r="CC197" i="2" s="1"/>
  <c r="CB159" i="2"/>
  <c r="CC159" i="2" s="1"/>
  <c r="CB172" i="2"/>
  <c r="CC172" i="2" s="1"/>
  <c r="CB176" i="2"/>
  <c r="CC176" i="2" s="1"/>
  <c r="CB183" i="2"/>
  <c r="CC183" i="2" s="1"/>
  <c r="CB187" i="2"/>
  <c r="CC187" i="2" s="1"/>
  <c r="CB164" i="2"/>
  <c r="CC164" i="2" s="1"/>
  <c r="CB179" i="2"/>
  <c r="CC179" i="2" s="1"/>
  <c r="CB193" i="2"/>
  <c r="CC193" i="2" s="1"/>
  <c r="CB185" i="2"/>
  <c r="CC185" i="2" s="1"/>
  <c r="CB190" i="2"/>
  <c r="CC190" i="2" s="1"/>
  <c r="CB167" i="2"/>
  <c r="CC167" i="2" s="1"/>
  <c r="CB173" i="2"/>
  <c r="CC173" i="2" s="1"/>
  <c r="CB177" i="2"/>
  <c r="CC177" i="2" s="1"/>
  <c r="CB182" i="2"/>
  <c r="CC182" i="2" s="1"/>
  <c r="CB191" i="2"/>
  <c r="CC191" i="2" s="1"/>
  <c r="CB195" i="2"/>
  <c r="CC195" i="2" s="1"/>
  <c r="Q240" i="2"/>
  <c r="Z240" i="2" s="1" a="1"/>
  <c r="Z240" i="2" s="1"/>
  <c r="C241" i="2"/>
  <c r="D241" i="2"/>
  <c r="K241" i="2" l="1"/>
  <c r="H241" i="2"/>
  <c r="J115" i="1" s="1"/>
  <c r="J241" i="2"/>
  <c r="I241" i="2"/>
  <c r="F115" i="19"/>
  <c r="N241" i="2"/>
  <c r="Y241" i="2" a="1"/>
  <c r="Y241" i="2" s="1"/>
  <c r="F115" i="15"/>
  <c r="F115" i="14"/>
  <c r="S240" i="2"/>
  <c r="V241" i="2"/>
  <c r="U241" i="2"/>
  <c r="G115" i="19" s="1"/>
  <c r="W241" i="2"/>
  <c r="F115" i="1"/>
  <c r="T241" i="2"/>
  <c r="AA241" i="2" s="1" a="1"/>
  <c r="AA241" i="2" s="1"/>
  <c r="O241" i="2"/>
  <c r="P241" i="2"/>
  <c r="E241" i="2"/>
  <c r="R241" i="2"/>
  <c r="L241" i="2"/>
  <c r="N115" i="19" s="1"/>
  <c r="M241" i="2"/>
  <c r="F241" i="2"/>
  <c r="G241" i="2"/>
  <c r="B242" i="2"/>
  <c r="CC151" i="2"/>
  <c r="I115" i="19" l="1"/>
  <c r="I115" i="1"/>
  <c r="H115" i="19"/>
  <c r="H115" i="1"/>
  <c r="L115" i="19"/>
  <c r="L115" i="1"/>
  <c r="J115" i="19"/>
  <c r="M115" i="19"/>
  <c r="M115" i="1"/>
  <c r="O115" i="19"/>
  <c r="O115" i="1"/>
  <c r="K115" i="19"/>
  <c r="K115" i="1"/>
  <c r="O115" i="15"/>
  <c r="O115" i="14"/>
  <c r="N115" i="14"/>
  <c r="N115" i="15"/>
  <c r="I115" i="15"/>
  <c r="I115" i="14"/>
  <c r="G115" i="15"/>
  <c r="G115" i="14"/>
  <c r="H115" i="15"/>
  <c r="H115" i="14"/>
  <c r="L115" i="14"/>
  <c r="L115" i="15"/>
  <c r="J115" i="14"/>
  <c r="J115" i="15"/>
  <c r="K115" i="14"/>
  <c r="K115" i="15"/>
  <c r="M115" i="14"/>
  <c r="M115" i="15"/>
  <c r="X241" i="2"/>
  <c r="G115" i="1"/>
  <c r="N115" i="1"/>
  <c r="CD151" i="2"/>
  <c r="CD154" i="2"/>
  <c r="CE154" i="2" s="1"/>
  <c r="CD153" i="2"/>
  <c r="CE153" i="2" s="1"/>
  <c r="CD155" i="2"/>
  <c r="CE155" i="2" s="1"/>
  <c r="CD160" i="2"/>
  <c r="CE160" i="2" s="1"/>
  <c r="CD163" i="2"/>
  <c r="CE163" i="2" s="1"/>
  <c r="CD156" i="2"/>
  <c r="CE156" i="2" s="1"/>
  <c r="CD162" i="2"/>
  <c r="CE162" i="2" s="1"/>
  <c r="CD164" i="2"/>
  <c r="CE164" i="2" s="1"/>
  <c r="CD168" i="2"/>
  <c r="CE168" i="2" s="1"/>
  <c r="CD172" i="2"/>
  <c r="CE172" i="2" s="1"/>
  <c r="CD170" i="2"/>
  <c r="CE170" i="2" s="1"/>
  <c r="CD176" i="2"/>
  <c r="CE176" i="2" s="1"/>
  <c r="CD161" i="2"/>
  <c r="CE161" i="2" s="1"/>
  <c r="CD171" i="2"/>
  <c r="CE171" i="2" s="1"/>
  <c r="CD173" i="2"/>
  <c r="CE173" i="2" s="1"/>
  <c r="CD174" i="2"/>
  <c r="CE174" i="2" s="1"/>
  <c r="CD178" i="2"/>
  <c r="CE178" i="2" s="1"/>
  <c r="CD182" i="2"/>
  <c r="CE182" i="2" s="1"/>
  <c r="CD186" i="2"/>
  <c r="CE186" i="2" s="1"/>
  <c r="CD190" i="2"/>
  <c r="CE190" i="2" s="1"/>
  <c r="CD194" i="2"/>
  <c r="CE194" i="2" s="1"/>
  <c r="CD180" i="2"/>
  <c r="CE180" i="2" s="1"/>
  <c r="CD188" i="2"/>
  <c r="CE188" i="2" s="1"/>
  <c r="CD196" i="2"/>
  <c r="CE196" i="2" s="1"/>
  <c r="CD152" i="2"/>
  <c r="CE152" i="2" s="1"/>
  <c r="CD158" i="2"/>
  <c r="CE158" i="2" s="1"/>
  <c r="CD165" i="2"/>
  <c r="CE165" i="2" s="1"/>
  <c r="CD166" i="2"/>
  <c r="CE166" i="2" s="1"/>
  <c r="CD167" i="2"/>
  <c r="CE167" i="2" s="1"/>
  <c r="CD175" i="2"/>
  <c r="CE175" i="2" s="1"/>
  <c r="CD177" i="2"/>
  <c r="CE177" i="2" s="1"/>
  <c r="CD189" i="2"/>
  <c r="CE189" i="2" s="1"/>
  <c r="CD191" i="2"/>
  <c r="CE191" i="2" s="1"/>
  <c r="CD159" i="2"/>
  <c r="CE159" i="2" s="1"/>
  <c r="CD181" i="2"/>
  <c r="CE181" i="2" s="1"/>
  <c r="CD183" i="2"/>
  <c r="CE183" i="2" s="1"/>
  <c r="CD192" i="2"/>
  <c r="CE192" i="2" s="1"/>
  <c r="CD195" i="2"/>
  <c r="CE195" i="2" s="1"/>
  <c r="CD169" i="2"/>
  <c r="CE169" i="2" s="1"/>
  <c r="CD184" i="2"/>
  <c r="CE184" i="2" s="1"/>
  <c r="CD187" i="2"/>
  <c r="CE187" i="2" s="1"/>
  <c r="CD193" i="2"/>
  <c r="CE193" i="2" s="1"/>
  <c r="CD157" i="2"/>
  <c r="CE157" i="2" s="1"/>
  <c r="CD179" i="2"/>
  <c r="CE179" i="2" s="1"/>
  <c r="CD185" i="2"/>
  <c r="CE185" i="2" s="1"/>
  <c r="CD197" i="2"/>
  <c r="CE197" i="2" s="1"/>
  <c r="Q241" i="2"/>
  <c r="Z241" i="2" s="1" a="1"/>
  <c r="Z241" i="2" s="1"/>
  <c r="D242" i="2"/>
  <c r="C242" i="2"/>
  <c r="K242" i="2" l="1"/>
  <c r="J242" i="2"/>
  <c r="I242" i="2"/>
  <c r="H242" i="2"/>
  <c r="J116" i="1" s="1"/>
  <c r="F116" i="19"/>
  <c r="N242" i="2"/>
  <c r="Y242" i="2" a="1"/>
  <c r="Y242" i="2" s="1"/>
  <c r="F116" i="15"/>
  <c r="F116" i="14"/>
  <c r="S241" i="2"/>
  <c r="V242" i="2"/>
  <c r="U242" i="2"/>
  <c r="G116" i="19" s="1"/>
  <c r="W242" i="2"/>
  <c r="F116" i="1"/>
  <c r="T242" i="2"/>
  <c r="AA242" i="2" s="1" a="1"/>
  <c r="AA242" i="2" s="1"/>
  <c r="P242" i="2"/>
  <c r="O242" i="2"/>
  <c r="R242" i="2"/>
  <c r="L242" i="2"/>
  <c r="N116" i="19" s="1"/>
  <c r="M242" i="2"/>
  <c r="F242" i="2"/>
  <c r="G242" i="2"/>
  <c r="E242" i="2"/>
  <c r="B243" i="2"/>
  <c r="CE151" i="2"/>
  <c r="I116" i="19" l="1"/>
  <c r="I116" i="1"/>
  <c r="H116" i="19"/>
  <c r="H116" i="1"/>
  <c r="O116" i="19"/>
  <c r="O116" i="1"/>
  <c r="K116" i="19"/>
  <c r="K116" i="1"/>
  <c r="M116" i="19"/>
  <c r="M116" i="1"/>
  <c r="L116" i="19"/>
  <c r="L116" i="1"/>
  <c r="J116" i="19"/>
  <c r="O116" i="14"/>
  <c r="O116" i="15"/>
  <c r="I116" i="15"/>
  <c r="I116" i="14"/>
  <c r="N116" i="14"/>
  <c r="N116" i="15"/>
  <c r="G116" i="15"/>
  <c r="G116" i="14"/>
  <c r="H116" i="15"/>
  <c r="H116" i="14"/>
  <c r="K116" i="15"/>
  <c r="K116" i="14"/>
  <c r="M116" i="14"/>
  <c r="M116" i="15"/>
  <c r="L116" i="14"/>
  <c r="L116" i="15"/>
  <c r="J116" i="15"/>
  <c r="J116" i="14"/>
  <c r="X242" i="2"/>
  <c r="G116" i="1"/>
  <c r="N116" i="1"/>
  <c r="CF151" i="2"/>
  <c r="CF152" i="2"/>
  <c r="CG152" i="2" s="1"/>
  <c r="CF154" i="2"/>
  <c r="CG154" i="2" s="1"/>
  <c r="CF156" i="2"/>
  <c r="CG156" i="2" s="1"/>
  <c r="CF153" i="2"/>
  <c r="CG153" i="2" s="1"/>
  <c r="CF158" i="2"/>
  <c r="CG158" i="2" s="1"/>
  <c r="CF161" i="2"/>
  <c r="CG161" i="2" s="1"/>
  <c r="CF159" i="2"/>
  <c r="CG159" i="2" s="1"/>
  <c r="CF163" i="2"/>
  <c r="CG163" i="2" s="1"/>
  <c r="CF166" i="2"/>
  <c r="CG166" i="2" s="1"/>
  <c r="CF170" i="2"/>
  <c r="CG170" i="2" s="1"/>
  <c r="CF169" i="2"/>
  <c r="CG169" i="2" s="1"/>
  <c r="CF174" i="2"/>
  <c r="CG174" i="2" s="1"/>
  <c r="CF160" i="2"/>
  <c r="CG160" i="2" s="1"/>
  <c r="CF167" i="2"/>
  <c r="CG167" i="2" s="1"/>
  <c r="CF172" i="2"/>
  <c r="CG172" i="2" s="1"/>
  <c r="CF180" i="2"/>
  <c r="CG180" i="2" s="1"/>
  <c r="CF184" i="2"/>
  <c r="CG184" i="2" s="1"/>
  <c r="CF188" i="2"/>
  <c r="CG188" i="2" s="1"/>
  <c r="CF192" i="2"/>
  <c r="CG192" i="2" s="1"/>
  <c r="CF196" i="2"/>
  <c r="CG196" i="2" s="1"/>
  <c r="CF155" i="2"/>
  <c r="CG155" i="2" s="1"/>
  <c r="CF157" i="2"/>
  <c r="CG157" i="2" s="1"/>
  <c r="CF164" i="2"/>
  <c r="CG164" i="2" s="1"/>
  <c r="CF177" i="2"/>
  <c r="CG177" i="2" s="1"/>
  <c r="CF179" i="2"/>
  <c r="CG179" i="2" s="1"/>
  <c r="CF187" i="2"/>
  <c r="CG187" i="2" s="1"/>
  <c r="CF195" i="2"/>
  <c r="CG195" i="2" s="1"/>
  <c r="CF171" i="2"/>
  <c r="CG171" i="2" s="1"/>
  <c r="CF175" i="2"/>
  <c r="CG175" i="2" s="1"/>
  <c r="CF165" i="2"/>
  <c r="CG165" i="2" s="1"/>
  <c r="CF173" i="2"/>
  <c r="CG173" i="2" s="1"/>
  <c r="CF176" i="2"/>
  <c r="CG176" i="2" s="1"/>
  <c r="CF185" i="2"/>
  <c r="CG185" i="2" s="1"/>
  <c r="CF190" i="2"/>
  <c r="CG190" i="2" s="1"/>
  <c r="CF182" i="2"/>
  <c r="CG182" i="2" s="1"/>
  <c r="CF191" i="2"/>
  <c r="CG191" i="2" s="1"/>
  <c r="CF194" i="2"/>
  <c r="CG194" i="2" s="1"/>
  <c r="CF197" i="2"/>
  <c r="CG197" i="2" s="1"/>
  <c r="CF183" i="2"/>
  <c r="CG183" i="2" s="1"/>
  <c r="CF186" i="2"/>
  <c r="CG186" i="2" s="1"/>
  <c r="CF189" i="2"/>
  <c r="CG189" i="2" s="1"/>
  <c r="CF162" i="2"/>
  <c r="CG162" i="2" s="1"/>
  <c r="CF168" i="2"/>
  <c r="CG168" i="2" s="1"/>
  <c r="CF178" i="2"/>
  <c r="CG178" i="2" s="1"/>
  <c r="CF181" i="2"/>
  <c r="CG181" i="2" s="1"/>
  <c r="CF193" i="2"/>
  <c r="CG193" i="2" s="1"/>
  <c r="Q242" i="2"/>
  <c r="Z242" i="2" s="1" a="1"/>
  <c r="Z242" i="2" s="1"/>
  <c r="D243" i="2"/>
  <c r="C243" i="2"/>
  <c r="K243" i="2" l="1"/>
  <c r="H243" i="2"/>
  <c r="J117" i="1" s="1"/>
  <c r="J243" i="2"/>
  <c r="I243" i="2"/>
  <c r="F117" i="19"/>
  <c r="N243" i="2"/>
  <c r="Y243" i="2" a="1"/>
  <c r="Y243" i="2" s="1"/>
  <c r="F117" i="14"/>
  <c r="F117" i="15"/>
  <c r="S242" i="2"/>
  <c r="V243" i="2"/>
  <c r="U243" i="2"/>
  <c r="G117" i="19" s="1"/>
  <c r="W243" i="2"/>
  <c r="F117" i="1"/>
  <c r="T243" i="2"/>
  <c r="AA243" i="2" s="1" a="1"/>
  <c r="AA243" i="2" s="1"/>
  <c r="P243" i="2"/>
  <c r="O243" i="2"/>
  <c r="R243" i="2"/>
  <c r="F243" i="2"/>
  <c r="M243" i="2"/>
  <c r="E243" i="2"/>
  <c r="G243" i="2"/>
  <c r="L243" i="2"/>
  <c r="N117" i="19" s="1"/>
  <c r="B244" i="2"/>
  <c r="CG151" i="2"/>
  <c r="H117" i="19" l="1"/>
  <c r="H117" i="1"/>
  <c r="L117" i="19"/>
  <c r="L117" i="1"/>
  <c r="O117" i="19"/>
  <c r="O117" i="1"/>
  <c r="J117" i="19"/>
  <c r="I117" i="19"/>
  <c r="I117" i="1"/>
  <c r="K117" i="19"/>
  <c r="K117" i="1"/>
  <c r="M117" i="19"/>
  <c r="M117" i="1"/>
  <c r="G117" i="15"/>
  <c r="G117" i="14"/>
  <c r="N117" i="14"/>
  <c r="N117" i="15"/>
  <c r="O117" i="14"/>
  <c r="O117" i="15"/>
  <c r="I117" i="15"/>
  <c r="I117" i="14"/>
  <c r="H117" i="15"/>
  <c r="H117" i="14"/>
  <c r="L117" i="15"/>
  <c r="L117" i="14"/>
  <c r="K117" i="15"/>
  <c r="K117" i="14"/>
  <c r="J117" i="15"/>
  <c r="J117" i="14"/>
  <c r="M117" i="15"/>
  <c r="M117" i="14"/>
  <c r="X243" i="2"/>
  <c r="G117" i="1"/>
  <c r="N117" i="1"/>
  <c r="CH151" i="2"/>
  <c r="CH154" i="2"/>
  <c r="CI154" i="2" s="1"/>
  <c r="CH153" i="2"/>
  <c r="CI153" i="2" s="1"/>
  <c r="CH155" i="2"/>
  <c r="CI155" i="2" s="1"/>
  <c r="CH160" i="2"/>
  <c r="CI160" i="2" s="1"/>
  <c r="CH157" i="2"/>
  <c r="CI157" i="2" s="1"/>
  <c r="CH163" i="2"/>
  <c r="CI163" i="2" s="1"/>
  <c r="CH152" i="2"/>
  <c r="CI152" i="2" s="1"/>
  <c r="CH158" i="2"/>
  <c r="CI158" i="2" s="1"/>
  <c r="CH161" i="2"/>
  <c r="CI161" i="2" s="1"/>
  <c r="CH164" i="2"/>
  <c r="CI164" i="2" s="1"/>
  <c r="CH168" i="2"/>
  <c r="CI168" i="2" s="1"/>
  <c r="CH172" i="2"/>
  <c r="CI172" i="2" s="1"/>
  <c r="CH159" i="2"/>
  <c r="CI159" i="2" s="1"/>
  <c r="CH165" i="2"/>
  <c r="CI165" i="2" s="1"/>
  <c r="CH171" i="2"/>
  <c r="CI171" i="2" s="1"/>
  <c r="CH173" i="2"/>
  <c r="CI173" i="2" s="1"/>
  <c r="CH176" i="2"/>
  <c r="CI176" i="2" s="1"/>
  <c r="CH166" i="2"/>
  <c r="CI166" i="2" s="1"/>
  <c r="CH169" i="2"/>
  <c r="CI169" i="2" s="1"/>
  <c r="CH175" i="2"/>
  <c r="CI175" i="2" s="1"/>
  <c r="CH177" i="2"/>
  <c r="CI177" i="2" s="1"/>
  <c r="CH178" i="2"/>
  <c r="CI178" i="2" s="1"/>
  <c r="CH182" i="2"/>
  <c r="CI182" i="2" s="1"/>
  <c r="CH186" i="2"/>
  <c r="CI186" i="2" s="1"/>
  <c r="CH190" i="2"/>
  <c r="CI190" i="2" s="1"/>
  <c r="CH194" i="2"/>
  <c r="CI194" i="2" s="1"/>
  <c r="CH167" i="2"/>
  <c r="CI167" i="2" s="1"/>
  <c r="CH181" i="2"/>
  <c r="CI181" i="2" s="1"/>
  <c r="CH183" i="2"/>
  <c r="CI183" i="2" s="1"/>
  <c r="CH189" i="2"/>
  <c r="CI189" i="2" s="1"/>
  <c r="CH191" i="2"/>
  <c r="CI191" i="2" s="1"/>
  <c r="CH197" i="2"/>
  <c r="CI197" i="2" s="1"/>
  <c r="CH170" i="2"/>
  <c r="CI170" i="2" s="1"/>
  <c r="CH174" i="2"/>
  <c r="CI174" i="2" s="1"/>
  <c r="CH162" i="2"/>
  <c r="CI162" i="2" s="1"/>
  <c r="CH184" i="2"/>
  <c r="CI184" i="2" s="1"/>
  <c r="CH187" i="2"/>
  <c r="CI187" i="2" s="1"/>
  <c r="CH193" i="2"/>
  <c r="CI193" i="2" s="1"/>
  <c r="CH179" i="2"/>
  <c r="CI179" i="2" s="1"/>
  <c r="CH185" i="2"/>
  <c r="CI185" i="2" s="1"/>
  <c r="CH196" i="2"/>
  <c r="CI196" i="2" s="1"/>
  <c r="CH156" i="2"/>
  <c r="CI156" i="2" s="1"/>
  <c r="CH188" i="2"/>
  <c r="CI188" i="2" s="1"/>
  <c r="CH180" i="2"/>
  <c r="CI180" i="2" s="1"/>
  <c r="CH192" i="2"/>
  <c r="CI192" i="2" s="1"/>
  <c r="CH195" i="2"/>
  <c r="CI195" i="2" s="1"/>
  <c r="Q243" i="2"/>
  <c r="Z243" i="2" s="1" a="1"/>
  <c r="Z243" i="2" s="1"/>
  <c r="C244" i="2"/>
  <c r="D244" i="2"/>
  <c r="J244" i="2" l="1"/>
  <c r="I244" i="2"/>
  <c r="K244" i="2"/>
  <c r="H244" i="2"/>
  <c r="J118" i="1" s="1"/>
  <c r="F118" i="19"/>
  <c r="N244" i="2"/>
  <c r="Y244" i="2" a="1"/>
  <c r="Y244" i="2" s="1"/>
  <c r="F118" i="14"/>
  <c r="F118" i="15"/>
  <c r="S243" i="2"/>
  <c r="U244" i="2"/>
  <c r="G118" i="19" s="1"/>
  <c r="W244" i="2"/>
  <c r="V244" i="2"/>
  <c r="F118" i="1"/>
  <c r="T244" i="2"/>
  <c r="AA244" i="2" s="1" a="1"/>
  <c r="AA244" i="2" s="1"/>
  <c r="P244" i="2"/>
  <c r="O244" i="2"/>
  <c r="L244" i="2"/>
  <c r="N118" i="19" s="1"/>
  <c r="G244" i="2"/>
  <c r="M244" i="2"/>
  <c r="F244" i="2"/>
  <c r="E244" i="2"/>
  <c r="R244" i="2"/>
  <c r="CI151" i="2"/>
  <c r="B245" i="2"/>
  <c r="H118" i="19" l="1"/>
  <c r="H118" i="1"/>
  <c r="O118" i="19"/>
  <c r="O118" i="1"/>
  <c r="I118" i="19"/>
  <c r="I118" i="1"/>
  <c r="L118" i="19"/>
  <c r="L118" i="1"/>
  <c r="K118" i="19"/>
  <c r="K118" i="1"/>
  <c r="J118" i="19"/>
  <c r="M118" i="19"/>
  <c r="M118" i="1"/>
  <c r="L118" i="15"/>
  <c r="L118" i="14"/>
  <c r="O118" i="15"/>
  <c r="O118" i="14"/>
  <c r="H118" i="14"/>
  <c r="H118" i="15"/>
  <c r="I118" i="15"/>
  <c r="I118" i="14"/>
  <c r="N118" i="15"/>
  <c r="N118" i="14"/>
  <c r="G118" i="14"/>
  <c r="G118" i="15"/>
  <c r="K118" i="15"/>
  <c r="K118" i="14"/>
  <c r="J118" i="15"/>
  <c r="J118" i="14"/>
  <c r="M118" i="15"/>
  <c r="M118" i="14"/>
  <c r="X244" i="2"/>
  <c r="G118" i="1"/>
  <c r="N118" i="1"/>
  <c r="CJ152" i="2"/>
  <c r="CJ154" i="2"/>
  <c r="CJ156" i="2"/>
  <c r="CJ158" i="2"/>
  <c r="CJ153" i="2"/>
  <c r="CJ159" i="2"/>
  <c r="CJ157" i="2"/>
  <c r="CJ160" i="2"/>
  <c r="CJ166" i="2"/>
  <c r="CJ170" i="2"/>
  <c r="CJ161" i="2"/>
  <c r="CJ164" i="2"/>
  <c r="CJ167" i="2"/>
  <c r="CJ172" i="2"/>
  <c r="CJ174" i="2"/>
  <c r="CJ165" i="2"/>
  <c r="CJ168" i="2"/>
  <c r="CJ171" i="2"/>
  <c r="CJ176" i="2"/>
  <c r="CJ180" i="2"/>
  <c r="CJ184" i="2"/>
  <c r="CJ188" i="2"/>
  <c r="CJ192" i="2"/>
  <c r="CJ196" i="2"/>
  <c r="CJ155" i="2"/>
  <c r="CJ162" i="2"/>
  <c r="CJ169" i="2"/>
  <c r="CJ182" i="2"/>
  <c r="CJ185" i="2"/>
  <c r="CJ190" i="2"/>
  <c r="CJ193" i="2"/>
  <c r="CJ163" i="2"/>
  <c r="CJ173" i="2"/>
  <c r="CJ183" i="2"/>
  <c r="CJ186" i="2"/>
  <c r="CJ189" i="2"/>
  <c r="CJ195" i="2"/>
  <c r="CJ177" i="2"/>
  <c r="CJ178" i="2"/>
  <c r="CJ181" i="2"/>
  <c r="CJ187" i="2"/>
  <c r="CJ175" i="2"/>
  <c r="CJ179" i="2"/>
  <c r="CJ191" i="2"/>
  <c r="CJ194" i="2"/>
  <c r="CJ197" i="2"/>
  <c r="CJ151" i="2"/>
  <c r="B246" i="2" s="1"/>
  <c r="Q244" i="2"/>
  <c r="Z244" i="2" s="1" a="1"/>
  <c r="Z244" i="2" s="1"/>
  <c r="D245" i="2"/>
  <c r="C245" i="2"/>
  <c r="J245" i="2" l="1"/>
  <c r="I245" i="2"/>
  <c r="K245" i="2"/>
  <c r="H245" i="2"/>
  <c r="J119" i="1" s="1"/>
  <c r="F119" i="19"/>
  <c r="N245" i="2"/>
  <c r="Y245" i="2" a="1"/>
  <c r="Y245" i="2" s="1"/>
  <c r="F119" i="14"/>
  <c r="F119" i="15"/>
  <c r="S244" i="2"/>
  <c r="F119" i="1"/>
  <c r="V245" i="2"/>
  <c r="U245" i="2"/>
  <c r="G119" i="19" s="1"/>
  <c r="W245" i="2"/>
  <c r="T245" i="2"/>
  <c r="AA245" i="2" s="1" a="1"/>
  <c r="AA245" i="2" s="1"/>
  <c r="O245" i="2"/>
  <c r="P245" i="2"/>
  <c r="D246" i="2"/>
  <c r="C246" i="2"/>
  <c r="L245" i="2"/>
  <c r="N119" i="19" s="1"/>
  <c r="E245" i="2"/>
  <c r="G245" i="2"/>
  <c r="M245" i="2"/>
  <c r="F245" i="2"/>
  <c r="R245" i="2"/>
  <c r="J246" i="2" l="1"/>
  <c r="I246" i="2"/>
  <c r="H246" i="2"/>
  <c r="H247" i="2" s="1"/>
  <c r="K246" i="2"/>
  <c r="M119" i="19"/>
  <c r="M119" i="1"/>
  <c r="O119" i="19"/>
  <c r="O119" i="1"/>
  <c r="I119" i="19"/>
  <c r="I119" i="1"/>
  <c r="H119" i="19"/>
  <c r="H119" i="1"/>
  <c r="L119" i="19"/>
  <c r="L119" i="1"/>
  <c r="K119" i="19"/>
  <c r="K119" i="1"/>
  <c r="J119" i="19"/>
  <c r="F120" i="19"/>
  <c r="N246" i="2"/>
  <c r="N247" i="2" s="1"/>
  <c r="I119" i="14"/>
  <c r="I119" i="15"/>
  <c r="G119" i="14"/>
  <c r="G119" i="15"/>
  <c r="O119" i="15"/>
  <c r="O119" i="14"/>
  <c r="N119" i="15"/>
  <c r="N119" i="14"/>
  <c r="H119" i="14"/>
  <c r="H119" i="15"/>
  <c r="D247" i="2"/>
  <c r="D248" i="2" s="1"/>
  <c r="F120" i="15"/>
  <c r="F120" i="14"/>
  <c r="L119" i="15"/>
  <c r="L119" i="14"/>
  <c r="K119" i="15"/>
  <c r="K119" i="14"/>
  <c r="M119" i="15"/>
  <c r="M119" i="14"/>
  <c r="J119" i="14"/>
  <c r="J119" i="15"/>
  <c r="Y246" i="2" a="1"/>
  <c r="Y246" i="2" s="1"/>
  <c r="X245" i="2"/>
  <c r="G119" i="1"/>
  <c r="N119" i="1"/>
  <c r="W246" i="2"/>
  <c r="F120" i="1"/>
  <c r="U246" i="2"/>
  <c r="G120" i="19" s="1"/>
  <c r="G121" i="19" s="1"/>
  <c r="V246" i="2"/>
  <c r="T246" i="2"/>
  <c r="AA246" i="2" s="1" a="1"/>
  <c r="AA246" i="2" s="1"/>
  <c r="O246" i="2"/>
  <c r="O248" i="2" s="1"/>
  <c r="P246" i="2"/>
  <c r="Q245" i="2"/>
  <c r="Z245" i="2" s="1" a="1"/>
  <c r="Z245" i="2" s="1"/>
  <c r="R246" i="2"/>
  <c r="R247" i="2" s="1"/>
  <c r="L246" i="2"/>
  <c r="N120" i="19" s="1"/>
  <c r="N121" i="19" s="1"/>
  <c r="G246" i="2"/>
  <c r="M246" i="2"/>
  <c r="F246" i="2"/>
  <c r="E246" i="2"/>
  <c r="H120" i="19" l="1"/>
  <c r="H120" i="1"/>
  <c r="I120" i="19"/>
  <c r="I120" i="1"/>
  <c r="O120" i="19"/>
  <c r="O121" i="19" s="1"/>
  <c r="O120" i="1"/>
  <c r="O121" i="1" s="1"/>
  <c r="N15" i="1" s="1"/>
  <c r="L120" i="19"/>
  <c r="L121" i="19" s="1"/>
  <c r="L120" i="1"/>
  <c r="L121" i="1" s="1"/>
  <c r="K120" i="19"/>
  <c r="K121" i="19" s="1"/>
  <c r="K120" i="1"/>
  <c r="K121" i="1" s="1"/>
  <c r="M27" i="1" s="1"/>
  <c r="J120" i="19"/>
  <c r="J121" i="19" s="1"/>
  <c r="J120" i="1"/>
  <c r="J121" i="1" s="1"/>
  <c r="M25" i="1" s="1"/>
  <c r="M120" i="19"/>
  <c r="M121" i="19" s="1"/>
  <c r="M120" i="1"/>
  <c r="M121" i="1" s="1"/>
  <c r="N13" i="1" s="1"/>
  <c r="W248" i="2"/>
  <c r="L120" i="14"/>
  <c r="L121" i="14" s="1"/>
  <c r="L120" i="15"/>
  <c r="L121" i="15" s="1"/>
  <c r="K120" i="14"/>
  <c r="K121" i="14" s="1"/>
  <c r="K120" i="15"/>
  <c r="K121" i="15" s="1"/>
  <c r="J120" i="14"/>
  <c r="J121" i="14" s="1"/>
  <c r="J120" i="15"/>
  <c r="J121" i="15" s="1"/>
  <c r="I120" i="14"/>
  <c r="I120" i="15"/>
  <c r="H120" i="14"/>
  <c r="H120" i="15"/>
  <c r="O120" i="15"/>
  <c r="O121" i="15" s="1"/>
  <c r="O120" i="14"/>
  <c r="O121" i="14" s="1"/>
  <c r="M120" i="15"/>
  <c r="M121" i="15" s="1"/>
  <c r="M120" i="14"/>
  <c r="M121" i="14" s="1"/>
  <c r="N120" i="15"/>
  <c r="N121" i="15" s="1"/>
  <c r="N120" i="14"/>
  <c r="N121" i="14" s="1"/>
  <c r="G120" i="15"/>
  <c r="G121" i="15" s="1"/>
  <c r="G120" i="14"/>
  <c r="G121" i="14" s="1"/>
  <c r="X246" i="2"/>
  <c r="S245" i="2"/>
  <c r="G120" i="1"/>
  <c r="G121" i="1" s="1"/>
  <c r="U247" i="2"/>
  <c r="I247" i="2"/>
  <c r="L248" i="2"/>
  <c r="N120" i="1"/>
  <c r="N121" i="1" s="1"/>
  <c r="M247" i="2"/>
  <c r="K247" i="2"/>
  <c r="N13" i="15" s="1"/>
  <c r="J247" i="2"/>
  <c r="L13" i="15" s="1"/>
  <c r="J248" i="2"/>
  <c r="E247" i="2"/>
  <c r="Q246" i="2"/>
  <c r="Z246" i="2" s="1" a="1"/>
  <c r="Z246" i="2" s="1"/>
  <c r="L247" i="2"/>
  <c r="O247" i="2"/>
  <c r="L17" i="15" s="1"/>
  <c r="P247" i="2"/>
  <c r="N17" i="15" s="1"/>
  <c r="M25" i="19" l="1"/>
  <c r="I124" i="19" s="1"/>
  <c r="M25" i="15"/>
  <c r="I124" i="15" s="1"/>
  <c r="N15" i="14"/>
  <c r="N15" i="15"/>
  <c r="N19" i="15" s="1"/>
  <c r="M27" i="19"/>
  <c r="M27" i="15"/>
  <c r="L15" i="14"/>
  <c r="L15" i="15"/>
  <c r="N17" i="14"/>
  <c r="N17" i="19"/>
  <c r="L17" i="14"/>
  <c r="L17" i="19"/>
  <c r="L13" i="14"/>
  <c r="L13" i="19"/>
  <c r="N13" i="14"/>
  <c r="N13" i="19"/>
  <c r="I124" i="1"/>
  <c r="M25" i="14"/>
  <c r="I124" i="14" s="1"/>
  <c r="M27" i="14"/>
  <c r="N17" i="1"/>
  <c r="L17" i="1"/>
  <c r="L15" i="1"/>
  <c r="L13" i="1"/>
  <c r="S246" i="2"/>
  <c r="K41" i="15" l="1"/>
  <c r="M41" i="15" s="1"/>
  <c r="K41" i="14"/>
  <c r="M41" i="14" s="1"/>
  <c r="N19" i="19"/>
  <c r="N19" i="14"/>
  <c r="K41" i="19"/>
  <c r="M41" i="19" s="1"/>
  <c r="K41" i="1"/>
  <c r="M41" i="1" s="1"/>
  <c r="N19" i="1"/>
  <c r="D42" i="2"/>
  <c r="K56" i="2" l="1"/>
  <c r="F203" i="2" s="1"/>
  <c r="E42" i="2"/>
  <c r="L56" i="2" s="1"/>
  <c r="G203" i="2" s="1"/>
  <c r="G247" i="2" l="1"/>
  <c r="W203" i="2"/>
  <c r="V203" i="2"/>
  <c r="F248" i="2"/>
  <c r="T203" i="2"/>
  <c r="F247" i="2"/>
  <c r="Q203" i="2"/>
  <c r="H77" i="19" l="1"/>
  <c r="H121" i="19" s="1"/>
  <c r="H77" i="1"/>
  <c r="I77" i="19"/>
  <c r="I121" i="19" s="1"/>
  <c r="I77" i="1"/>
  <c r="I121" i="1" s="1"/>
  <c r="L11" i="19"/>
  <c r="L19" i="19" s="1"/>
  <c r="L11" i="15"/>
  <c r="M11" i="19"/>
  <c r="M19" i="19" s="1"/>
  <c r="M29" i="19" s="1"/>
  <c r="M11" i="15"/>
  <c r="M19" i="15" s="1"/>
  <c r="M29" i="15" s="1"/>
  <c r="L11" i="1"/>
  <c r="L11" i="14"/>
  <c r="H121" i="1"/>
  <c r="H77" i="14"/>
  <c r="H121" i="14" s="1"/>
  <c r="H77" i="15"/>
  <c r="H121" i="15" s="1"/>
  <c r="I77" i="14"/>
  <c r="I121" i="14" s="1"/>
  <c r="I77" i="15"/>
  <c r="I121" i="15" s="1"/>
  <c r="M11" i="1"/>
  <c r="M19" i="1" s="1"/>
  <c r="M29" i="1" s="1"/>
  <c r="M11" i="14"/>
  <c r="M19" i="14" s="1"/>
  <c r="M29" i="14" s="1"/>
  <c r="S203" i="2"/>
  <c r="S247" i="2" s="1"/>
  <c r="Q248" i="2"/>
  <c r="Q247" i="2"/>
  <c r="Z203" i="2" a="1"/>
  <c r="Z203" i="2" s="1"/>
  <c r="X203" i="2"/>
  <c r="X202" i="2" s="1"/>
  <c r="T247" i="2"/>
  <c r="AA203" i="2" a="1"/>
  <c r="AA203" i="2" s="1"/>
  <c r="N124" i="19" l="1"/>
  <c r="L19" i="1"/>
  <c r="M31" i="1" s="1"/>
  <c r="M33" i="1" s="1"/>
  <c r="G41" i="1"/>
  <c r="I41" i="1" s="1"/>
  <c r="G41" i="19"/>
  <c r="I41" i="19" s="1"/>
  <c r="M31" i="19"/>
  <c r="M33" i="19" s="1"/>
  <c r="L19" i="15"/>
  <c r="M31" i="15" s="1"/>
  <c r="M33" i="15" s="1"/>
  <c r="G41" i="15"/>
  <c r="I41" i="15" s="1"/>
  <c r="N124" i="1"/>
  <c r="N124" i="15"/>
  <c r="N124" i="14"/>
  <c r="G41" i="14"/>
  <c r="I41" i="14" s="1"/>
  <c r="L19" i="14"/>
  <c r="M31" i="14" s="1"/>
  <c r="M33" i="14" s="1"/>
  <c r="X201" i="2"/>
  <c r="Y202" i="2"/>
  <c r="AA202" i="2"/>
  <c r="Z202" i="2"/>
  <c r="O124" i="19" l="1"/>
  <c r="O124" i="15"/>
  <c r="O124" i="1"/>
  <c r="O124" i="14"/>
  <c r="Z201" i="2"/>
  <c r="AA201" i="2"/>
  <c r="Y201" i="2"/>
  <c r="B261" i="2"/>
  <c r="E20" i="4" l="1"/>
  <c r="B9" i="2"/>
  <c r="B255" i="2"/>
  <c r="G255" i="2" l="1"/>
  <c r="G261" i="2"/>
  <c r="J49" i="1" s="1"/>
  <c r="B266" i="2"/>
  <c r="B267" i="2" s="1"/>
  <c r="B264" i="2"/>
  <c r="H30" i="19"/>
  <c r="H23" i="15"/>
  <c r="H23" i="19"/>
  <c r="H23" i="1"/>
  <c r="H23" i="14"/>
  <c r="B33" i="2"/>
  <c r="B268" i="2" l="1"/>
  <c r="G267" i="2"/>
  <c r="J49" i="14"/>
  <c r="J49" i="15"/>
  <c r="J49" i="19"/>
  <c r="B269" i="2" l="1"/>
  <c r="C269" i="2" s="1"/>
  <c r="G268" i="2"/>
  <c r="S255" i="2"/>
  <c r="H30" i="14"/>
  <c r="H30" i="15"/>
  <c r="H30" i="1"/>
  <c r="M49" i="1" l="1"/>
  <c r="M49" i="19"/>
  <c r="M49" i="15"/>
  <c r="M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(0,5% com minimo de 2,50€)</t>
        </r>
      </text>
    </comment>
    <comment ref="E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(Imposto de Selo a 4%)</t>
        </r>
      </text>
    </comment>
    <comment ref="D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(0,2% com minimo de 12,50€)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<sst xmlns="http://schemas.openxmlformats.org/spreadsheetml/2006/main" count="870" uniqueCount="423">
  <si>
    <t>Produto</t>
  </si>
  <si>
    <t>Taxa Juro Nominal Bruta</t>
  </si>
  <si>
    <t>Prazo</t>
  </si>
  <si>
    <t>Pag. Juro</t>
  </si>
  <si>
    <t>Base</t>
  </si>
  <si>
    <t>Maturidade</t>
  </si>
  <si>
    <t>Valor de 1 Obrigação</t>
  </si>
  <si>
    <t>Data de Liq.</t>
  </si>
  <si>
    <t>1º Pag. de Cupão</t>
  </si>
  <si>
    <t>Último Pag. de Cupão</t>
  </si>
  <si>
    <t>Semestral</t>
  </si>
  <si>
    <t>Actual</t>
  </si>
  <si>
    <t>Anual</t>
  </si>
  <si>
    <t>Nº Pag. Juros/Ano</t>
  </si>
  <si>
    <t>Nº Pag. Juros Total</t>
  </si>
  <si>
    <t>Nº meses entre pag.</t>
  </si>
  <si>
    <t>30/360</t>
  </si>
  <si>
    <t>Actual/360</t>
  </si>
  <si>
    <t>Actual/Actual</t>
  </si>
  <si>
    <t>Actual/365</t>
  </si>
  <si>
    <t>Coef. Juro</t>
  </si>
  <si>
    <t>Juro</t>
  </si>
  <si>
    <t>Valor Investido</t>
  </si>
  <si>
    <t>Nº dias por período/Mês</t>
  </si>
  <si>
    <t>Nº dias por período/Ano</t>
  </si>
  <si>
    <t>Juros conforme a base</t>
  </si>
  <si>
    <t>Calendário</t>
  </si>
  <si>
    <t>Cód.</t>
  </si>
  <si>
    <t>Data dos Cupões</t>
  </si>
  <si>
    <t># do Cupão</t>
  </si>
  <si>
    <t># Cupões / Início</t>
  </si>
  <si>
    <t>CHECK</t>
  </si>
  <si>
    <t>Mês</t>
  </si>
  <si>
    <t>Mês/Cobrança Custódia</t>
  </si>
  <si>
    <t>Mês/Começo do Trimestre</t>
  </si>
  <si>
    <t>Mês/Fim do Trimestre</t>
  </si>
  <si>
    <t>Valor Mínimo:</t>
  </si>
  <si>
    <t>Valor Máximo:</t>
  </si>
  <si>
    <t>Subscrição</t>
  </si>
  <si>
    <t>Juros</t>
  </si>
  <si>
    <t>Reembolso</t>
  </si>
  <si>
    <t>Montante</t>
  </si>
  <si>
    <t>Comissão</t>
  </si>
  <si>
    <t>Imp. Selo:</t>
  </si>
  <si>
    <t>IVA</t>
  </si>
  <si>
    <t>Imp. Selo</t>
  </si>
  <si>
    <t>IRS/IRC</t>
  </si>
  <si>
    <t>Tipo de Imposto Sobre o Rendimento:</t>
  </si>
  <si>
    <t>Cliente com Conta de Títulos Activa e com outros títulos em carteira?</t>
  </si>
  <si>
    <t>IRS</t>
  </si>
  <si>
    <t>Dias corridos</t>
  </si>
  <si>
    <t>Cash-Flow Actualizado</t>
  </si>
  <si>
    <t>TIR:</t>
  </si>
  <si>
    <t>IRC</t>
  </si>
  <si>
    <t>Valor em € de Obrigações a Subscrever:</t>
  </si>
  <si>
    <t>A PREENCHER</t>
  </si>
  <si>
    <t>Nome do Cliente:</t>
  </si>
  <si>
    <t>NIF:</t>
  </si>
  <si>
    <t>Quantidade de Obrigações:</t>
  </si>
  <si>
    <t>Comissões (valor acumulado até á maturidade)</t>
  </si>
  <si>
    <t>Total:</t>
  </si>
  <si>
    <t>Nota: Esta informação não dispensa a consulta do prospecto oficial, disponível em www.cmvm.pt, assim como do nosso Preçário em Vigor.</t>
  </si>
  <si>
    <t>Período</t>
  </si>
  <si>
    <t>Cash-Flow</t>
  </si>
  <si>
    <t>Totais:</t>
  </si>
  <si>
    <t>Condições da Oferta Pública de Subscrição</t>
  </si>
  <si>
    <t>(em anos)</t>
  </si>
  <si>
    <t>-</t>
  </si>
  <si>
    <t>Amortização</t>
  </si>
  <si>
    <t>Calendário dos Cupões</t>
  </si>
  <si>
    <t>Mapa dos Juros</t>
  </si>
  <si>
    <t>Quadro das Bases para o cálculo dos Juros</t>
  </si>
  <si>
    <t>Mapa da Cobrança da Comissão de Custódia</t>
  </si>
  <si>
    <t>Mapa de Meses de Custódia</t>
  </si>
  <si>
    <t>Mapa com todas as Datas de Cash-Flow</t>
  </si>
  <si>
    <t>Mapa resumo com Datas ordenadas e com todos os Cash-Flows actualizados</t>
  </si>
  <si>
    <t>Base para o cálculo do juro:</t>
  </si>
  <si>
    <t>Custódia</t>
  </si>
  <si>
    <t>Inserir dados nas células amarelas</t>
  </si>
  <si>
    <t>Este documento destina-se a uso exclusivo para Contas de Títulos de Clientes da CCAM</t>
  </si>
  <si>
    <t>Calculadas com o SOLVER (DATA/SOLVER)</t>
  </si>
  <si>
    <t>Taxa de Juro Anual Nominal Bruta (TANB)</t>
  </si>
  <si>
    <t>Pagamento de Juros</t>
  </si>
  <si>
    <t>Montante a Investir:</t>
  </si>
  <si>
    <t>Juro Bruto até à maturidade:</t>
  </si>
  <si>
    <t>Soma:</t>
  </si>
  <si>
    <t>Total de Comissões:</t>
  </si>
  <si>
    <t>Conta de Títulos:</t>
  </si>
  <si>
    <t>Dif:</t>
  </si>
  <si>
    <t>Rendibilidade</t>
  </si>
  <si>
    <t>TIR - Taxa Interna de Rendibilidade                           (Anual Liquida)</t>
  </si>
  <si>
    <t>Não tenho nem vou ter outros Instrumentos Financeiros nesta Conta de Títulos?</t>
  </si>
  <si>
    <t>VERDADEIRO</t>
  </si>
  <si>
    <t>FALSO</t>
  </si>
  <si>
    <t>Rendimento Liq. até maturidade:</t>
  </si>
  <si>
    <t>Deverá preencher TODOS os campos sombreados a amarelo</t>
  </si>
  <si>
    <t>Assumindo a detenção até à maturidade e
 salvo posteriores alterações no preçário.</t>
  </si>
  <si>
    <t>Fim Período de subscrição:</t>
  </si>
  <si>
    <t>Início Período de subscrição:</t>
  </si>
  <si>
    <t>Tipo de Amortização</t>
  </si>
  <si>
    <t>Repartida</t>
  </si>
  <si>
    <t>Total no Final</t>
  </si>
  <si>
    <t>Data de Amortização</t>
  </si>
  <si>
    <t>Mapa de Subscrição e Amortizações</t>
  </si>
  <si>
    <t>Calendário do Capital Investido</t>
  </si>
  <si>
    <t>Capital Investido</t>
  </si>
  <si>
    <t>Capitar Amortizado</t>
  </si>
  <si>
    <t>Capital Activo</t>
  </si>
  <si>
    <r>
      <t xml:space="preserve">Enviar para CCCAM / DO - Títulos via Processos </t>
    </r>
    <r>
      <rPr>
        <b/>
        <i/>
        <sz val="10"/>
        <color theme="1"/>
        <rFont val="Tahoma"/>
        <family val="2"/>
      </rPr>
      <t>FAST</t>
    </r>
    <r>
      <rPr>
        <b/>
        <sz val="10"/>
        <color theme="1"/>
        <rFont val="Tahoma"/>
        <family val="2"/>
      </rPr>
      <t>ER</t>
    </r>
  </si>
  <si>
    <t>Resumo das condições do empréstimo obrigacionista</t>
  </si>
  <si>
    <t>Obrigações oferecidas</t>
  </si>
  <si>
    <t>Montante inicial</t>
  </si>
  <si>
    <t>ISIN</t>
  </si>
  <si>
    <t>Data de Emissão das obrigações</t>
  </si>
  <si>
    <t>Valor nominal (1 Obrigação)</t>
  </si>
  <si>
    <t>Vencimento dos juros do empréstimo</t>
  </si>
  <si>
    <t xml:space="preserve">          1ª Data:</t>
  </si>
  <si>
    <t xml:space="preserve">          2ª Data:</t>
  </si>
  <si>
    <t>Vencimento 1º cupão</t>
  </si>
  <si>
    <t>Base de cálculo</t>
  </si>
  <si>
    <t>30/360 Dias</t>
  </si>
  <si>
    <t>Data de reembolso (ao par)</t>
  </si>
  <si>
    <t>Representação das Obrigações</t>
  </si>
  <si>
    <t>Garantias</t>
  </si>
  <si>
    <t>Sem garantias especiais</t>
  </si>
  <si>
    <t>Regime fiscal</t>
  </si>
  <si>
    <t>Admissão à Negociação</t>
  </si>
  <si>
    <t>Destinatários</t>
  </si>
  <si>
    <t>Montante mínimo de subscrição</t>
  </si>
  <si>
    <t>Montante máximo de subscrição</t>
  </si>
  <si>
    <t>Outras condições</t>
  </si>
  <si>
    <t>Taxa de Juro nominal fixa do cupão (ao ano)</t>
  </si>
  <si>
    <t>Prazo do empréstimo (anos)</t>
  </si>
  <si>
    <t>Quantidade mínima de obrigações</t>
  </si>
  <si>
    <t>Quantidade inicial</t>
  </si>
  <si>
    <t>Valor de Subscrição (Exemplo):</t>
  </si>
  <si>
    <t>Clientes particulares com Conta de Títulos Aberta e com Títulos em Carteira</t>
  </si>
  <si>
    <t>Clientes particulares sem Conta de Títulos aberta ou sem Títulos em Carteira</t>
  </si>
  <si>
    <t>Emissão das obrigações</t>
  </si>
  <si>
    <t>Limite para a revogação e/ou alteração das ordens:  15:00h do dia</t>
  </si>
  <si>
    <t>Início do Período de Subscrição:                                   08:30h do dia</t>
  </si>
  <si>
    <t>Limitado ao montante máximo das Obrigações objeto da Oferta de subscrição e ao processo de Rateio.</t>
  </si>
  <si>
    <t>Escriturais, nominativas</t>
  </si>
  <si>
    <t>Ínicio do Período de Subscrição</t>
  </si>
  <si>
    <t>TIR DE OBRIGAÇÕES (simulação/OPS)</t>
  </si>
  <si>
    <t>Limite para aumento do montante da Oferta</t>
  </si>
  <si>
    <t>[17]</t>
  </si>
  <si>
    <t>[1]</t>
  </si>
  <si>
    <t>Cliente Classificado como não Profissional?</t>
  </si>
  <si>
    <t>NÃO</t>
  </si>
  <si>
    <t>SIM</t>
  </si>
  <si>
    <t>[16]</t>
  </si>
  <si>
    <t>[2]</t>
  </si>
  <si>
    <t>[15]</t>
  </si>
  <si>
    <t>[14]</t>
  </si>
  <si>
    <t>[3]</t>
  </si>
  <si>
    <t>[13]</t>
  </si>
  <si>
    <t>[4]</t>
  </si>
  <si>
    <t>[11]</t>
  </si>
  <si>
    <t>Confirmar o Registo da Subscrição no SIBAL</t>
  </si>
  <si>
    <t>[10]</t>
  </si>
  <si>
    <t>[5]</t>
  </si>
  <si>
    <t>[9]</t>
  </si>
  <si>
    <t>Aguardar a impressão do Boletim de Subscrição (5 páginas)</t>
  </si>
  <si>
    <t>[8]</t>
  </si>
  <si>
    <t>[6]</t>
  </si>
  <si>
    <t>[7]</t>
  </si>
  <si>
    <t>Checklist da subscrição</t>
  </si>
  <si>
    <t>Verificar se o Cliente está Classificado como não Profissional</t>
  </si>
  <si>
    <t>¨</t>
  </si>
  <si>
    <t>NÃO:</t>
  </si>
  <si>
    <t>¡</t>
  </si>
  <si>
    <t>SIM:</t>
  </si>
  <si>
    <t>Verificar se o Cliente já Respondeu ao Questionário de Produtos Complexos para o Produto Obrigações Estruturadas</t>
  </si>
  <si>
    <r>
      <t xml:space="preserve">O Cliente terá de responder ao Questionário de Produtos Complexos para o Produto Obrigações Estruturadas </t>
    </r>
    <r>
      <rPr>
        <sz val="11"/>
        <color theme="1"/>
        <rFont val="Calibri"/>
        <family val="2"/>
        <scheme val="minor"/>
      </rPr>
      <t>(no CA On-Line Gestão: DMIF / Questionário de Produtos Complexos ou no CA Online Particulares)</t>
    </r>
  </si>
  <si>
    <t>Verificar se Resultado do Questionário é "Adequado"</t>
  </si>
  <si>
    <r>
      <t>O Cliente terá que preencher a "</t>
    </r>
    <r>
      <rPr>
        <u/>
        <sz val="12"/>
        <color theme="1"/>
        <rFont val="Calibri"/>
        <family val="2"/>
        <scheme val="minor"/>
      </rPr>
      <t>Confirmação de Ordem para Produtos Complexos</t>
    </r>
    <r>
      <rPr>
        <sz val="12"/>
        <color theme="1"/>
        <rFont val="Calibri"/>
        <family val="2"/>
        <scheme val="minor"/>
      </rPr>
      <t>"</t>
    </r>
    <r>
      <rPr>
        <sz val="11"/>
        <color theme="1"/>
        <rFont val="Calibri"/>
        <family val="2"/>
        <scheme val="minor"/>
      </rPr>
      <t xml:space="preserve"> (no CA On-Line Gestão: DMIF / "Confirmação Ordem P.Complexos" ou no CA Online Particulares)</t>
    </r>
  </si>
  <si>
    <t>O Cliente tem de assinar o Boletim e tem de escrever pelo próprio punho as frases existentes na última das 5 páginas do Boletim de Subscrição</t>
  </si>
  <si>
    <t>Aguardar a impressão do Boletim de Confirmação da Subscrição (1 página)</t>
  </si>
  <si>
    <t>O Cliente tem de assinar o Boletim de Confirmação da Subscrição</t>
  </si>
  <si>
    <t>Fazer:</t>
  </si>
  <si>
    <t>Passar o rato pelo Nome da Oferta e selecionar:</t>
  </si>
  <si>
    <r>
      <t xml:space="preserve">Entregar ao Cliente que pretende fazer a Subscrição 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da Oferta e a Respetiva </t>
    </r>
    <r>
      <rPr>
        <b/>
        <sz val="11"/>
        <color theme="1"/>
        <rFont val="Calibri"/>
        <family val="2"/>
        <scheme val="minor"/>
      </rPr>
      <t>Folha da TIR</t>
    </r>
  </si>
  <si>
    <t>Os rendimentos das obrigações são considerados rendimentos de capitais</t>
  </si>
  <si>
    <t>Verificar se o Cliente já Respondeu ao Questionário Perfil de Investidor no último ano</t>
  </si>
  <si>
    <r>
      <t xml:space="preserve">Selecionar o Titular que está a fazer a Subscrição, entrado no Menu: </t>
    </r>
    <r>
      <rPr>
        <b/>
        <sz val="11"/>
        <color theme="1"/>
        <rFont val="Calibri"/>
        <family val="2"/>
        <scheme val="minor"/>
      </rPr>
      <t>Pesquisa de Cliente</t>
    </r>
  </si>
  <si>
    <r>
      <t xml:space="preserve">Depois do Cliente selecionado, entrar no Menu: </t>
    </r>
    <r>
      <rPr>
        <b/>
        <sz val="11"/>
        <color theme="1"/>
        <rFont val="Calibri"/>
        <family val="2"/>
        <scheme val="minor"/>
      </rPr>
      <t>Eventos / Em Curso</t>
    </r>
  </si>
  <si>
    <t>Fazer: Ver Resultados</t>
  </si>
  <si>
    <t>Tomar nota do Nº da Ordem e coloca-lo no Boletim (como Número do Boletim) assim como na Folha da TIR</t>
  </si>
  <si>
    <t>Cliente já Preencheu e assinou o Boletim de Subscrição</t>
  </si>
  <si>
    <t>Cliente já Preencheu e assinou a Folha da TIR</t>
  </si>
  <si>
    <t xml:space="preserve">Inserir o pedido de Subscrição no Sifox Branch </t>
  </si>
  <si>
    <r>
      <t>Entrar no sifox Branch:</t>
    </r>
    <r>
      <rPr>
        <b/>
        <sz val="11"/>
        <color theme="1"/>
        <rFont val="Calibri"/>
        <family val="2"/>
        <scheme val="minor"/>
      </rPr>
      <t xml:space="preserve"> 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</si>
  <si>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r>
      <t>Efetuar a Classificação do Cliente como Não Profissional</t>
    </r>
    <r>
      <rPr>
        <sz val="11"/>
        <color theme="1"/>
        <rFont val="Calibri"/>
        <family val="2"/>
        <scheme val="minor"/>
      </rPr>
      <t xml:space="preserve"> (PROFILE:  1 CLIENTE Geral / 27 Menu DMIF / 1 Inserir CLASSIFICAÇÃO DMIF)</t>
    </r>
  </si>
  <si>
    <t>Verificar se o Cliente  já possui Conta de Títulos aberta (Ações/Obrigações)</t>
  </si>
  <si>
    <t>O Cliente tem de preencher e assinar o Boletim de Subscrição da Oferta, disponível no CAIS no BANNER da Oferta ou no Sifox Branch / Mercados  / Eventos. O mesmo terá de ser assinado e carimbado pela Agência.</t>
  </si>
  <si>
    <t>O Cliente tem de preencher e assinar a Folha da TIR da Oferta, disponível no CAIS no BANNER da Oferta ou no Sifox Branch / Mercados  / Eventos. A mesmo terá de ser assinado e carimbada pela Agência.</t>
  </si>
  <si>
    <t>Cliente terá que responder ao Questionário de Perfil de Investidor, podendo faze-lo no:
. CA Online Particulares;
. Na Agência via CA Express;
. Na Agência via CA On-Line Gestão</t>
  </si>
  <si>
    <t>NOTA:  Ambos os documentos estão disponíveis no CAIS no BANNER da Oferta ou no Sifox Branch / Mercados  / Eventos.</t>
  </si>
  <si>
    <t>ò</t>
  </si>
  <si>
    <t>ó</t>
  </si>
  <si>
    <t>ð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</si>
  <si>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preencher/assinar o </t>
    </r>
    <r>
      <rPr>
        <b/>
        <sz val="11"/>
        <color theme="1"/>
        <rFont val="Calibri"/>
        <family val="2"/>
        <scheme val="minor"/>
      </rPr>
      <t xml:space="preserve">Boletim de Subscrição </t>
    </r>
    <r>
      <rPr>
        <sz val="11"/>
        <color theme="1"/>
        <rFont val="Calibri"/>
        <family val="2"/>
        <scheme val="minor"/>
      </rPr>
      <t xml:space="preserve">e a </t>
    </r>
    <r>
      <rPr>
        <b/>
        <sz val="11"/>
        <color theme="1"/>
        <rFont val="Calibri"/>
        <family val="2"/>
        <scheme val="minor"/>
      </rPr>
      <t>Folha da TIR</t>
    </r>
  </si>
  <si>
    <r>
      <t xml:space="preserve">Selecionar o Titular que está a fazer a Subscrição, entrado no Menu: 
</t>
    </r>
    <r>
      <rPr>
        <b/>
        <sz val="11"/>
        <color theme="1"/>
        <rFont val="Calibri"/>
        <family val="2"/>
        <scheme val="minor"/>
      </rPr>
      <t>Pesquisa de Cliente</t>
    </r>
  </si>
  <si>
    <t>ñ</t>
  </si>
  <si>
    <t xml:space="preserve">                            Fazer:</t>
  </si>
  <si>
    <t>ï</t>
  </si>
  <si>
    <r>
      <t xml:space="preserve">No Campo </t>
    </r>
    <r>
      <rPr>
        <b/>
        <sz val="11"/>
        <color theme="1"/>
        <rFont val="Calibri"/>
        <family val="2"/>
        <scheme val="minor"/>
      </rPr>
      <t>Qtd/Mont.</t>
    </r>
    <r>
      <rPr>
        <sz val="11"/>
        <color theme="1"/>
        <rFont val="Calibri"/>
        <family val="2"/>
        <scheme val="minor"/>
      </rPr>
      <t xml:space="preserve"> indicar o Montante em Euros que o Cliente pretende Subscrever</t>
    </r>
  </si>
  <si>
    <t>Fluxograma da Subscrição</t>
  </si>
  <si>
    <r>
      <t xml:space="preserve">       Fazer: </t>
    </r>
    <r>
      <rPr>
        <b/>
        <sz val="11"/>
        <color theme="1"/>
        <rFont val="Calibri"/>
        <family val="2"/>
        <scheme val="minor"/>
      </rPr>
      <t>Ver Resultados</t>
    </r>
  </si>
  <si>
    <t>Este montante terá de ser igual ao que consta no Boletim de Subscrição e na Folha da TIR</t>
  </si>
  <si>
    <r>
      <t xml:space="preserve">Entrar no Sifox Branch: </t>
    </r>
    <r>
      <rPr>
        <b/>
        <sz val="11"/>
        <color theme="1"/>
        <rFont val="Calibri"/>
        <family val="2"/>
        <scheme val="minor"/>
      </rPr>
      <t>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</si>
  <si>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t>Nº de Ordem (Sifox Branch) nº __________</t>
  </si>
  <si>
    <r>
      <t>Colocar o Código atribuído pelo Edoc no Boletim de Subscrição e na Folha da TIR.</t>
    </r>
    <r>
      <rPr>
        <sz val="12"/>
        <color theme="1"/>
        <rFont val="Calibri"/>
        <family val="2"/>
        <scheme val="minor"/>
      </rPr>
      <t xml:space="preserve"> (se não tomou nota durante a criação do Processo, pode entrar nos Processos Documentais Edoc: O Meu Trabalho / Enviadas)</t>
    </r>
  </si>
  <si>
    <t>. Boletim de Subscrição e/ou de Troca</t>
  </si>
  <si>
    <t>. Folha da TIR</t>
  </si>
  <si>
    <t>Se aplicável:</t>
  </si>
  <si>
    <t>. Questionário de Perfil de Investidor</t>
  </si>
  <si>
    <t>. Declaração de Responsabilidade por Inadequação</t>
  </si>
  <si>
    <t>. Contrato de Investimento em Instrumentos Financeiros</t>
  </si>
  <si>
    <r>
      <rPr>
        <b/>
        <sz val="11"/>
        <color theme="1"/>
        <rFont val="Calibri"/>
        <family val="2"/>
        <scheme val="minor"/>
      </rPr>
      <t>O Cliente já assinou o Boletim de Subscrição da Oferta e a Folha da TIR?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Ambos têm de ser assinados pelo Cliente e assinados e carimbados pela Agência</t>
    </r>
  </si>
  <si>
    <t>FIM</t>
  </si>
  <si>
    <r>
      <t xml:space="preserve">Colocar o Código atribuído pelo Edoc no Boletim de Subscrição e na Folha da TIR. </t>
    </r>
    <r>
      <rPr>
        <sz val="9"/>
        <color theme="1"/>
        <rFont val="Calibri"/>
        <family val="2"/>
        <scheme val="minor"/>
      </rPr>
      <t>(se não tomou nota do Nº de Processo, pode entrar nos Processos Documentais Edoc: O Meu Trabalho / Enviadas)</t>
    </r>
  </si>
  <si>
    <t>Processo FASTER: DO-TIT___________/2024/__________</t>
  </si>
  <si>
    <t>jjjjjjjjjj</t>
  </si>
  <si>
    <t>Cliente está no Mercado Alvo Positivo?</t>
  </si>
  <si>
    <t>Cliente assinou a Declaração de Responsabilidade por Inadequação?</t>
  </si>
  <si>
    <r>
      <t xml:space="preserve">Registar o pedido de Subscrição no 
</t>
    </r>
    <r>
      <rPr>
        <b/>
        <sz val="11"/>
        <color theme="1"/>
        <rFont val="Calibri"/>
        <family val="2"/>
        <scheme val="minor"/>
      </rPr>
      <t>Sifox Branch</t>
    </r>
  </si>
  <si>
    <t>Efectuar a Classificação do Cliente como Não Profissional no PROFILE:
1 CLIENTE Geral / 27 Menu DMIF / 1 Inserir CLASSIFICAÇÃO DMIF</t>
  </si>
  <si>
    <r>
      <t xml:space="preserve">Cliente já com Conta de Títulos (Acções/Obrigações) aberta no
</t>
    </r>
    <r>
      <rPr>
        <b/>
        <sz val="11"/>
        <color theme="1"/>
        <rFont val="Calibri"/>
        <family val="2"/>
        <scheme val="minor"/>
      </rPr>
      <t>Sifox Branch</t>
    </r>
    <r>
      <rPr>
        <sz val="11"/>
        <color theme="1"/>
        <rFont val="Calibri"/>
        <family val="2"/>
        <scheme val="minor"/>
      </rPr>
      <t>?</t>
    </r>
  </si>
  <si>
    <r>
      <t xml:space="preserve">Cliente já respondeu ao </t>
    </r>
    <r>
      <rPr>
        <b/>
        <sz val="11"/>
        <color theme="1"/>
        <rFont val="Calibri"/>
        <family val="2"/>
        <scheme val="minor"/>
      </rPr>
      <t>Questionário Perfil de Investidor</t>
    </r>
    <r>
      <rPr>
        <sz val="11"/>
        <color theme="1"/>
        <rFont val="Calibri"/>
        <family val="2"/>
        <scheme val="minor"/>
      </rPr>
      <t xml:space="preserve"> no último ano?</t>
    </r>
  </si>
  <si>
    <r>
      <t xml:space="preserve">Validar o MERCADO ALVO do Cliente para o Produto CONTA DE TÍTULOS no Profile:
1 Cliente Geral / 27 Menu DMIF / 17 Consultar CONTA/INST FINANCEIRO </t>
    </r>
    <r>
      <rPr>
        <sz val="9"/>
        <color theme="1"/>
        <rFont val="Calibri"/>
        <family val="2"/>
        <scheme val="minor"/>
      </rPr>
      <t>(indicando a Conta DO do Cliente e o Produto e Instrumento: Conta de Títulos)</t>
    </r>
  </si>
  <si>
    <r>
      <t xml:space="preserve">Cliente assinou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>?</t>
    </r>
  </si>
  <si>
    <t>Enviar os originais do Boletim de Subscrição e da Folha da TIR, por Correio Interno para Caixa Central / DOT-Títulos</t>
  </si>
  <si>
    <r>
      <t xml:space="preserve">O Cliente terá que responder ao Questionário de Perfil de Investidor, podendo faze-lo no:
     </t>
    </r>
    <r>
      <rPr>
        <sz val="11"/>
        <color theme="1"/>
        <rFont val="Calibri"/>
        <family val="2"/>
        <scheme val="minor"/>
      </rPr>
      <t>. CA Online Particulares;
      . Na Agência via CA Express;
      . Na Agência via CA Online Gestão</t>
    </r>
  </si>
  <si>
    <t>[3.1]</t>
  </si>
  <si>
    <t>[3.2]</t>
  </si>
  <si>
    <t>Não avançar com o Pedido de Subscrição sem que todas as Declarações de Responsabilidade por Inadequação necessário estejam assinadas pelos Cliente e assinadas e carimbadas pela Agência.</t>
  </si>
  <si>
    <t>Avançar para o próximo ponto</t>
  </si>
  <si>
    <t>Avançar para o ponto 4</t>
  </si>
  <si>
    <t>[3.3]</t>
  </si>
  <si>
    <r>
      <t xml:space="preserve">No Campo Qtd/Mont. indicar o </t>
    </r>
    <r>
      <rPr>
        <b/>
        <sz val="11"/>
        <color theme="1"/>
        <rFont val="Calibri"/>
        <family val="2"/>
        <scheme val="minor"/>
      </rPr>
      <t>Montante em Euros</t>
    </r>
    <r>
      <rPr>
        <sz val="11"/>
        <color theme="1"/>
        <rFont val="Calibri"/>
        <family val="2"/>
        <scheme val="minor"/>
      </rPr>
      <t xml:space="preserve"> que o Cliente pretende Subscrever</t>
    </r>
  </si>
  <si>
    <r>
      <t xml:space="preserve">Este montante terá de ser igual ao que consta no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e na </t>
    </r>
    <r>
      <rPr>
        <b/>
        <sz val="11"/>
        <color theme="1"/>
        <rFont val="Calibri"/>
        <family val="2"/>
        <scheme val="minor"/>
      </rPr>
      <t>Folha da TIR</t>
    </r>
  </si>
  <si>
    <t>Tomar nota do Nº da Ordem e coloca-lo no Boletim (como Nº do Boletim) assim como na Folha da TIR</t>
  </si>
  <si>
    <t>Documentos originais a enviar para a Caixa Central / DOT-Títulos
Em todos os casos:</t>
  </si>
  <si>
    <t>Cálculo da T.I.R. sem Impostos</t>
  </si>
  <si>
    <t>Impacto dos Imposto na TIR</t>
  </si>
  <si>
    <t>TIR - Taxa Interna de Rendibilidade cálculada antes de Impostos (Anual com comissões, mas sem impostos)</t>
  </si>
  <si>
    <t>Impacto dos Impostos na TIR</t>
  </si>
  <si>
    <t>sem impostos</t>
  </si>
  <si>
    <t>Impostos</t>
  </si>
  <si>
    <t>TOTAL:</t>
  </si>
  <si>
    <t>Subscriçã/Reembolso</t>
  </si>
  <si>
    <t>Imposto</t>
  </si>
  <si>
    <t>Valor</t>
  </si>
  <si>
    <t>Imp. s/Rend.</t>
  </si>
  <si>
    <t>Impacto que os impostos têm sobre o cálculo da TIR</t>
  </si>
  <si>
    <t>Cash-flows (in/out) associados ao investimento</t>
  </si>
  <si>
    <t>Peso dos custos "one-off" e dos custos "ongoing" no montante do investimento</t>
  </si>
  <si>
    <t>Montante investido</t>
  </si>
  <si>
    <t>Peso no Montante investido dos custos "ongoing"</t>
  </si>
  <si>
    <t>Peso no Montante investido dos custos "one-off"</t>
  </si>
  <si>
    <t>Rentabilidade perdida com impostos</t>
  </si>
  <si>
    <t>% da TIR c/Imp. Na TIR s/Imp.</t>
  </si>
  <si>
    <t>valor % do impacto na TIR s/Imp.</t>
  </si>
  <si>
    <t>Check</t>
  </si>
  <si>
    <t>Custos "one-off" 
(incluindo impostos)</t>
  </si>
  <si>
    <t>Custos "onegoing" 
(incluindo impostos)</t>
  </si>
  <si>
    <t>Nota1: Custos "one-off", são custos cobrados uma única vez durante a vida do produto. Ex: Comissão de Subscrição, Comissão de Reembolso.</t>
  </si>
  <si>
    <t>Nota2: Custos "ongoing", são custos cobrados várias vezes durante a vida do produto. Ex: Comissão de Custódia, Comissão de Pagamento de Juros.</t>
  </si>
  <si>
    <t>Preço de Subscrição (Valor Nominal)</t>
  </si>
  <si>
    <t>Apuramento de resultados:                                            17:00h do dia</t>
  </si>
  <si>
    <t>Fim do Período de Subscrição:                                        15:00h do dia</t>
  </si>
  <si>
    <t>Público em geral (pessoas singulares ou coletivas residentes ou com estabelecimento em Portugal)</t>
  </si>
  <si>
    <r>
      <t xml:space="preserve">Se o Cliente estiver no Mercado Alvo Cinzento, terá de assinar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 xml:space="preserve"> para o Instrumento:</t>
    </r>
    <r>
      <rPr>
        <b/>
        <sz val="11"/>
        <color theme="1"/>
        <rFont val="Calibri"/>
        <family val="2"/>
        <scheme val="minor"/>
      </rPr>
      <t xml:space="preserve"> Conta Títulos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(todos os titulares da Conta no Mercado Alvo Cinzento têm de assinar a sua Declaração)</t>
    </r>
  </si>
  <si>
    <r>
      <rPr>
        <b/>
        <sz val="11"/>
        <color theme="1"/>
        <rFont val="Calibri"/>
        <family val="2"/>
        <scheme val="minor"/>
      </rPr>
      <t>Acta</t>
    </r>
    <r>
      <rPr>
        <sz val="11"/>
        <color theme="1"/>
        <rFont val="Calibri"/>
        <family val="2"/>
        <scheme val="minor"/>
      </rPr>
      <t xml:space="preserve">
Tratando-se de um Pedido de Subscrição de um Intrumento Financeiro o coloborador tem de fazer uma Acta da reunião tida presencialmente com o Cliente</t>
    </r>
  </si>
  <si>
    <t>O Cliente já assinou a Acta relativa à Subscrição que pretende realizar?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</si>
  <si>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assinar a Acta referente a este Pedido de Subscrição</t>
    </r>
  </si>
  <si>
    <t>NOTA:  A Acta está disponivel na Aplicação CA Express.</t>
  </si>
  <si>
    <t>[6][7]</t>
  </si>
  <si>
    <t>[8.1]</t>
  </si>
  <si>
    <t>[8.2]</t>
  </si>
  <si>
    <t>[8.3]</t>
  </si>
  <si>
    <t>[8.4]</t>
  </si>
  <si>
    <t>[8.5]</t>
  </si>
  <si>
    <t>[8.6]</t>
  </si>
  <si>
    <t>[8.7]</t>
  </si>
  <si>
    <t>[8.8]</t>
  </si>
  <si>
    <t>[8.9]</t>
  </si>
  <si>
    <t>[12]</t>
  </si>
  <si>
    <t>NÃO registar a Ordem no Sifox Branch enquanto o Cliente não assinar a Acta referente a este Pedido de Subscrição</t>
  </si>
  <si>
    <t>. Acta referente ao Pedido de Subscrição (se realizada no CA Express a mesma passa automáticamente para o Edoc)</t>
  </si>
  <si>
    <t>De seguida, dentro da Opção "Mercados", clicar em "Ofertas em curso"</t>
  </si>
  <si>
    <t>É apresentada uma primeira página com os dados da operação</t>
  </si>
  <si>
    <t>Clicando no Boletim de Subscrição, pode consulta-lo</t>
  </si>
  <si>
    <t>Chegamos á última fase do processo: "Confirmar e autorizar"</t>
  </si>
  <si>
    <t>Se estiver tudo OK, bastará o cliente fazer a sua autenticação</t>
  </si>
  <si>
    <t>e "Confirmar"</t>
  </si>
  <si>
    <t>E no fim deve obter a seguinte confirmação</t>
  </si>
  <si>
    <t>Ou enviar o comprovativo por e-mail</t>
  </si>
  <si>
    <t>Após a Entrada no CA Online Particulares, clicar em "Investimentos"</t>
  </si>
  <si>
    <t>Cliente terá que abrir Conta de Títulos. Poderá faze-lo no CA Online Particulares (se a Conta DO for individual) ou na Agência na Aplicação CA Express</t>
  </si>
  <si>
    <t>Proceder à abertura da Conta de Títulos na Aplicação CA Express</t>
  </si>
  <si>
    <t>Quadro Comparativo de Rendibilidade</t>
  </si>
  <si>
    <r>
      <t xml:space="preserve">Se o Cliente estiver no Mercado Alvo Cinzento, terá de assinar a </t>
    </r>
    <r>
      <rPr>
        <u/>
        <sz val="12"/>
        <color theme="1"/>
        <rFont val="Calibri"/>
        <family val="2"/>
        <scheme val="minor"/>
      </rPr>
      <t>Declaração de Responsabilidade por Inadequação</t>
    </r>
    <r>
      <rPr>
        <sz val="9"/>
        <color theme="1"/>
        <rFont val="Calibri"/>
        <family val="2"/>
        <scheme val="minor"/>
      </rPr>
      <t xml:space="preserve"> para o Instrumento Conta Títulos (todos os titulares da Conta no Mercado Alvo Cinzento têm de assinar a sua Declaração)</t>
    </r>
  </si>
  <si>
    <r>
      <t>Proceder à abertura da Conta de Títulos na Aplicação CA Express</t>
    </r>
    <r>
      <rPr>
        <sz val="12"/>
        <color theme="1"/>
        <rFont val="Calibri"/>
        <family val="2"/>
        <scheme val="minor"/>
      </rPr>
      <t xml:space="preserve"> e avançar para o próximo ponto</t>
    </r>
  </si>
  <si>
    <t>Cliente já assinou a Acta (disponível na Aplicação CA Express) relativa à Subscrição que pretende realizar?</t>
  </si>
  <si>
    <r>
      <t>Digitalizar todos os Documentos (Acta, Boletim de subscrição e Folha da TIR) e abrir um Processo FASTER para a DO-Títulos no Edoc</t>
    </r>
    <r>
      <rPr>
        <sz val="12"/>
        <color theme="1"/>
        <rFont val="Calibri"/>
        <family val="2"/>
        <scheme val="minor"/>
      </rPr>
      <t xml:space="preserve"> (O Meu Trabalho / Processos FASTER / Intermediação/BancaAnssurance / Instrução de Clientes)</t>
    </r>
  </si>
  <si>
    <t>TIR - Taxa Interna de Rendibilidade (Anual Liquida)</t>
  </si>
  <si>
    <t>Acta Reunião Presencial (CA Express) nº ________________________</t>
  </si>
  <si>
    <t xml:space="preserve">Comissão de Colocação na OPT: </t>
  </si>
  <si>
    <t>Comissão de Colocação na OPS:</t>
  </si>
  <si>
    <t>Número de casas decimais para o cálculo dos juros</t>
  </si>
  <si>
    <t>Margem de segurança, em dias, entre cupões</t>
  </si>
  <si>
    <t>dias</t>
  </si>
  <si>
    <t>Comissão de Subscrição</t>
  </si>
  <si>
    <t>Imposto de Selo</t>
  </si>
  <si>
    <t>Comissão de Amortização</t>
  </si>
  <si>
    <t>Comissão de Pagamento de Juros</t>
  </si>
  <si>
    <t>Comissão de Custódia</t>
  </si>
  <si>
    <t>Minimo de Comissão de Subscrição</t>
  </si>
  <si>
    <t>Minimo de Comissão de Amortização</t>
  </si>
  <si>
    <t>Minimo de Comissão de Pagamento de Juros</t>
  </si>
  <si>
    <t>Código</t>
  </si>
  <si>
    <t>Data Cash-flow</t>
  </si>
  <si>
    <t>Meses/Cupão</t>
  </si>
  <si>
    <t>TIR</t>
  </si>
  <si>
    <t>TIR s/Imp.</t>
  </si>
  <si>
    <t>A visualização do Cash-flow não é obrigarória, nesta etapa, para continuar o processo de subscrição.</t>
  </si>
  <si>
    <t xml:space="preserve">Fazendo "Continuar"… </t>
  </si>
  <si>
    <t>E obtém o valor da TIR. Sem "Simular Rendimento" não tem disponível o botão "Visualizar Cash-flow"</t>
  </si>
  <si>
    <t>C/Impostos e Comissões</t>
  </si>
  <si>
    <t>Sem Impostos nem comissões</t>
  </si>
  <si>
    <t>Com Impostos mas sem comissões</t>
  </si>
  <si>
    <t>Subscrição/Reemb.</t>
  </si>
  <si>
    <t>Data</t>
  </si>
  <si>
    <t>c/Impostos</t>
  </si>
  <si>
    <t>s/Impostos</t>
  </si>
  <si>
    <t>XIRR</t>
  </si>
  <si>
    <t>IRR</t>
  </si>
  <si>
    <t>Método a usar:</t>
  </si>
  <si>
    <t>XTIR</t>
  </si>
  <si>
    <r>
      <t>=XIRR(</t>
    </r>
    <r>
      <rPr>
        <sz val="9"/>
        <color theme="0" tint="-0.34998626667073579"/>
        <rFont val="Tahoma"/>
        <family val="2"/>
      </rPr>
      <t>values;dates;guess)</t>
    </r>
  </si>
  <si>
    <r>
      <t>=IRR(</t>
    </r>
    <r>
      <rPr>
        <sz val="9"/>
        <color theme="0" tint="-0.34998626667073579"/>
        <rFont val="Tahoma"/>
        <family val="2"/>
      </rPr>
      <t>values;guess)</t>
    </r>
  </si>
  <si>
    <t>Processo FASTER: DO-TIT___________/2023/__________</t>
  </si>
  <si>
    <t>Nesta página pode ainda fazer o Download do Comprovativo do Pedido de Subscrição</t>
  </si>
  <si>
    <t>Valor Mobiliário Alvo da Troca:</t>
  </si>
  <si>
    <t>TIR DE OBRIGAÇÕES (simulação/OPT)</t>
  </si>
  <si>
    <t>Conta de Títulos</t>
  </si>
  <si>
    <t>Nº Interveniente</t>
  </si>
  <si>
    <t>SYMBOL</t>
  </si>
  <si>
    <t>Selecione o NOME do Cliente desta LISTA</t>
  </si>
  <si>
    <t>NIF</t>
  </si>
  <si>
    <t>MONTANTE</t>
  </si>
  <si>
    <t>FOLHA a usar:</t>
  </si>
  <si>
    <t>FOLHA</t>
  </si>
  <si>
    <t>FOLHA (CAS)</t>
  </si>
  <si>
    <t>FOLHA (Online)</t>
  </si>
  <si>
    <t>FOLHA (Troca)</t>
  </si>
  <si>
    <t>FOLHA a usar</t>
  </si>
  <si>
    <t>←</t>
  </si>
  <si>
    <t>Apuramento de resultados</t>
  </si>
  <si>
    <t>Liquidação Física e Financeira</t>
  </si>
  <si>
    <r>
      <t xml:space="preserve">Se respondeu </t>
    </r>
    <r>
      <rPr>
        <b/>
        <sz val="12"/>
        <color rgb="FFFF0000"/>
        <rFont val="Calibri"/>
        <family val="2"/>
        <scheme val="minor"/>
      </rPr>
      <t>Não</t>
    </r>
    <r>
      <rPr>
        <b/>
        <sz val="12"/>
        <color theme="1"/>
        <rFont val="Calibri"/>
        <family val="2"/>
        <scheme val="minor"/>
      </rPr>
      <t xml:space="preserve"> à questão anterior, validar o Mercado Alvo do Cliente para o produto (Conta de Títulos)? </t>
    </r>
    <r>
      <rPr>
        <b/>
        <sz val="9"/>
        <color theme="1"/>
        <rFont val="Calibri"/>
        <family val="2"/>
        <scheme val="minor"/>
      </rPr>
      <t xml:space="preserve">(todos os titulares da Conta têm de ser validados) -&gt; </t>
    </r>
    <r>
      <rPr>
        <sz val="12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PROFILE:  1 CLIENTE Geral / 27 Menu DMIF / 17 Consultar CONTA/INST FINANCEIRO, indicando a Conta DO do Cliente)</t>
    </r>
  </si>
  <si>
    <r>
      <t>Entregar ao Cliente que pretende fazer a Subscrição o Boletim de Subscrição da Oferta e a Respetiva Folha da TIR</t>
    </r>
    <r>
      <rPr>
        <sz val="11"/>
        <color theme="1"/>
        <rFont val="Calibri"/>
        <family val="2"/>
        <scheme val="minor"/>
      </rPr>
      <t xml:space="preserve"> e avançar para o próximo ponto</t>
    </r>
  </si>
  <si>
    <t>Cliente</t>
  </si>
  <si>
    <t>Conta</t>
  </si>
  <si>
    <t>Nesta etapa basta introduzir o Montante em Euros de Obrigações e clicar em "Simular Rendimento"</t>
  </si>
  <si>
    <t>Emitente:</t>
  </si>
  <si>
    <t>Queri de Posição de Títulos alvo de Troca</t>
  </si>
  <si>
    <t>Qt. de Obrigações:</t>
  </si>
  <si>
    <t>Data Cálculo Juros</t>
  </si>
  <si>
    <t>Data Fluxo Juro</t>
  </si>
  <si>
    <t>Cálculo da T.I.R.</t>
  </si>
  <si>
    <t>*</t>
  </si>
  <si>
    <t>* 1º Critério de Rateio: Atribuição de €3.000 em Obrigações a cada ordem de Subscrição</t>
  </si>
  <si>
    <t>Passei a utilizar directamente a coluna: W80:W95</t>
  </si>
  <si>
    <t>Método Cálculo Cash-Flow:</t>
  </si>
  <si>
    <t>Método Cálculo Cash-Flow</t>
  </si>
  <si>
    <t>Data Juro</t>
  </si>
  <si>
    <t>Dia Útil Seguinte</t>
  </si>
  <si>
    <t>Depois fazendo Continuar…</t>
  </si>
  <si>
    <t>Chega à página de introdução do montante que pretende subscrever e simular a respetiva TIR (Taxa Interna de Rendibilidade)</t>
  </si>
  <si>
    <t>Sem estes passos não consegue avançar com o Pedido de Subscrição.</t>
  </si>
  <si>
    <t>… chega à página dos "Documentos" em que obrigatoriamente o Cliente tem de fazer o Download do "Boletim de Subscrição" e da "Simulação da TIR", que tem de percorrer na totalidade e fazer…</t>
  </si>
  <si>
    <t>... "Concluir leitura".</t>
  </si>
  <si>
    <t>Após ter feito a leitura dos dois documentos, o Aceite dos termos e Confirmar a Tomada da TIR e da advertência do CA, já consegue progredir no processo, fazendo "Aceito a Documentação"</t>
  </si>
  <si>
    <r>
      <t xml:space="preserve">O Cliente terá que abrir uma Conta de Títulos. Poderá faze-lo </t>
    </r>
    <r>
      <rPr>
        <sz val="11"/>
        <color theme="1"/>
        <rFont val="Calibri"/>
        <family val="2"/>
        <scheme val="minor"/>
      </rPr>
      <t>no CA Online Particulares (se a Conta DO for individual) ou na Agência na aplicação CA Express</t>
    </r>
  </si>
  <si>
    <r>
      <rPr>
        <b/>
        <sz val="12"/>
        <color theme="1"/>
        <rFont val="Calibri"/>
        <family val="2"/>
        <scheme val="minor"/>
      </rPr>
      <t xml:space="preserve">Documentos originais a enviar para a Caixa Central / DOT-Títulos
</t>
    </r>
    <r>
      <rPr>
        <u/>
        <sz val="10"/>
        <color theme="1"/>
        <rFont val="Calibri"/>
        <family val="2"/>
        <scheme val="minor"/>
      </rPr>
      <t>Em todos os casos:</t>
    </r>
    <r>
      <rPr>
        <sz val="10"/>
        <color theme="1"/>
        <rFont val="Calibri"/>
        <family val="2"/>
        <scheme val="minor"/>
      </rPr>
      <t xml:space="preserve">
. Boletim de Subscrição
. Folha da TIR
</t>
    </r>
    <r>
      <rPr>
        <u/>
        <sz val="10"/>
        <color theme="1"/>
        <rFont val="Calibri"/>
        <family val="2"/>
        <scheme val="minor"/>
      </rPr>
      <t>Se aplicável:</t>
    </r>
    <r>
      <rPr>
        <sz val="10"/>
        <color theme="1"/>
        <rFont val="Calibri"/>
        <family val="2"/>
        <scheme val="minor"/>
      </rPr>
      <t xml:space="preserve">
. Questionário de Perfil de Investidor
. Declaração de Responsabilidade por Inadequação
. Contrato de Investimento em Instrumentos Financeiros</t>
    </r>
  </si>
  <si>
    <t>Digitalizar todos os Documentos (Acta, Boletim de Subscrição e Folha da TIR) e abrir um Processo FASTER para a DOT-Títulos no Edoc (O Meu Trabalho / Processos FASTER / Intermediação / BancaAnssurance / Instrução de Clientes)</t>
  </si>
  <si>
    <t>PTMENWOM0015</t>
  </si>
  <si>
    <t>€ 250,00 (duzentos e cinquenta euros) por cada obrigação</t>
  </si>
  <si>
    <t>Ordens expressas em múltiplos de 1 Obrigação ou seja € 250,00</t>
  </si>
  <si>
    <t>200.000 obrigações</t>
  </si>
  <si>
    <t>MOTA-ENGIL, SGPS, S.A.</t>
  </si>
  <si>
    <t>Obrigações Mota-Engil 2029</t>
  </si>
  <si>
    <t>16/abril e 16/outubro de cada ano,  até à Data de Reembolso (última Data de Pagamento de Juros), datas sujeitas a ajustamento de acordo com a Convenção do Dia Útil Seguinte.</t>
  </si>
  <si>
    <t>Obrigações Mota-Engil 2019/2024 (PTMENXOM0006)</t>
  </si>
  <si>
    <r>
      <rPr>
        <b/>
        <sz val="22"/>
        <color rgb="FFFFC000"/>
        <rFont val="Calibri Light"/>
        <family val="2"/>
        <scheme val="major"/>
      </rPr>
      <t>Outras Datas Relevantes</t>
    </r>
    <r>
      <rPr>
        <b/>
        <sz val="20"/>
        <color rgb="FFFFC000"/>
        <rFont val="Calibri Light"/>
        <family val="2"/>
        <scheme val="major"/>
      </rPr>
      <t xml:space="preserve">
</t>
    </r>
    <r>
      <rPr>
        <b/>
        <sz val="12"/>
        <color rgb="FFFFC000"/>
        <rFont val="Calibri Light"/>
        <family val="2"/>
      </rPr>
      <t>(caso não seja dia útil, a data de pagamento será ajustada para o dia útil seguinte, não havendo direito a receber juros adicionais ou qualquer outro pagamento em virtude do diferimento)</t>
    </r>
  </si>
  <si>
    <t>MARIA TERESA PIRES TELES DOS REIS</t>
  </si>
  <si>
    <t>BMENX</t>
  </si>
  <si>
    <t>ELISABETE MARIA PALMEIRO BAPTISTA FERREI</t>
  </si>
  <si>
    <t>MARIA ANA BERNARDINA DA CUNHA FALCÃO</t>
  </si>
  <si>
    <t>MARIA AGOSTINHA MONTEIRO MARTINS SANTOS</t>
  </si>
  <si>
    <t>LUÍS ALBERTO MATOS CARVALHO</t>
  </si>
  <si>
    <t>JOÃO CARLOS MATOS CARVALHO</t>
  </si>
  <si>
    <t>FRANCISCO JOSÉ SANTOS GALVÃO</t>
  </si>
  <si>
    <t>ANA MARIA COSTA BOTO SANTOS GALVÃO</t>
  </si>
  <si>
    <t>MARIA MARGARIDA DUARTE MENDES ROSA</t>
  </si>
  <si>
    <t>NATIVIDADE DA LUZ DO VALE NARCISO LAVARE</t>
  </si>
  <si>
    <t>ADELINA MARQUES DE OLIVEIRA FRANCISCO</t>
  </si>
  <si>
    <t>ANA RAQUEL LEITÃO DE MONTEIRO SIMÃO OLIV</t>
  </si>
  <si>
    <t>OLÍMPIA ISABEL DOS SANTOS COSTA COUTINHO</t>
  </si>
  <si>
    <t>MARIA DA CONCEIÇÃO DA SILVA CARNEIRO MOT</t>
  </si>
  <si>
    <t>JAIME PEREIRA RODRIGUES</t>
  </si>
  <si>
    <t>FRANCISCO ANTÓNIO DIAS DA COSTA</t>
  </si>
  <si>
    <t>MARIA GUILHERMINA MENDES DE SOUSA ABRUNH</t>
  </si>
  <si>
    <t>MARIA DA GRAÇA OLIVEIRA ROCHA MAIA</t>
  </si>
  <si>
    <t>JILL RICHARDS</t>
  </si>
  <si>
    <t>EURIDICE ALVES PERES CORREIA ALVES</t>
  </si>
  <si>
    <t>SÍLVIA CRISTINA DA SILVA COUTINHO</t>
  </si>
  <si>
    <t>MARIA DILAR FREITAS FRANCO NEVES</t>
  </si>
  <si>
    <t>Custos "ongoing" 
(incluindo impostos)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</si>
</sst>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dd/mm/yyyy;@"/>
    <numFmt numFmtId="166" formatCode="0.0000"/>
    <numFmt numFmtId="167" formatCode="#,##0.00\ &quot;€&quot;"/>
    <numFmt numFmtId="168" formatCode="#,##0.000"/>
    <numFmt numFmtId="169" formatCode="0.0000%"/>
    <numFmt numFmtId="170" formatCode="000\ 000\ 000"/>
    <numFmt numFmtId="171" formatCode="[$-F800]dddd\,\ mmmm\ dd\,\ yyyy"/>
    <numFmt numFmtId="172" formatCode="0.00000%"/>
    <numFmt numFmtId="173" formatCode="000\ 0000\ 0000"/>
    <numFmt numFmtId="174" formatCode="[$-816]d\ &quot;de&quot;\ mmmm\ &quot;de&quot;\ yyyy;@"/>
    <numFmt numFmtId="175" formatCode="dd\ mmmm\ yyyy"/>
    <numFmt numFmtId="176" formatCode="[$€-2]\ #,##0.00;[Red]\-[$€-2]\ #,##0.00"/>
    <numFmt numFmtId="177" formatCode="mmmm\ yyyy"/>
    <numFmt numFmtId="178" formatCode="dd/mmm/yyyy"/>
    <numFmt numFmtId="179" formatCode="_-* #,##0.00\ [$€-816]_-;\-* #,##0.00\ [$€-816]_-;_-* &quot;-&quot;??\ [$€-816]_-;_-@_-"/>
    <numFmt numFmtId="180" formatCode="0.000000%"/>
    <numFmt numFmtId="181" formatCode="d/mm/yyyy;@"/>
    <numFmt numFmtId="182" formatCode="0.00000"/>
    <numFmt numFmtId="183" formatCode="0.0"/>
    <numFmt numFmtId="184" formatCode="dd\-mm\-yyyy;@"/>
    <numFmt numFmtId="185" formatCode="0.0000000%"/>
    <numFmt numFmtId="186" formatCode="0.000"/>
    <numFmt numFmtId="187" formatCode="0.00000000"/>
    <numFmt numFmtId="188" formatCode="0.000000000"/>
    <numFmt numFmtId="189" formatCode="0.000%"/>
  </numFmts>
  <fonts count="1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6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b/>
      <sz val="24"/>
      <color theme="1"/>
      <name val="Tahoma"/>
      <family val="2"/>
    </font>
    <font>
      <b/>
      <sz val="9"/>
      <color indexed="81"/>
      <name val="Tahoma"/>
      <family val="2"/>
    </font>
    <font>
      <b/>
      <sz val="16"/>
      <color theme="0"/>
      <name val="Tahoma"/>
      <family val="2"/>
    </font>
    <font>
      <b/>
      <sz val="12"/>
      <color theme="1"/>
      <name val="Tahoma"/>
      <family val="2"/>
    </font>
    <font>
      <sz val="11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Tahoma"/>
      <family val="2"/>
    </font>
    <font>
      <b/>
      <sz val="11"/>
      <name val="Calibri Light"/>
      <family val="2"/>
      <scheme val="major"/>
    </font>
    <font>
      <b/>
      <sz val="9"/>
      <color theme="9" tint="-0.249977111117893"/>
      <name val="Calibri Light"/>
      <family val="2"/>
      <scheme val="major"/>
    </font>
    <font>
      <b/>
      <sz val="11"/>
      <color theme="0"/>
      <name val="Tahoma"/>
      <family val="2"/>
    </font>
    <font>
      <sz val="20"/>
      <color theme="1"/>
      <name val="Tahoma"/>
      <family val="2"/>
    </font>
    <font>
      <b/>
      <sz val="8"/>
      <name val="Calibri Light"/>
      <family val="2"/>
      <scheme val="major"/>
    </font>
    <font>
      <b/>
      <sz val="28"/>
      <name val="Aharoni"/>
      <charset val="177"/>
    </font>
    <font>
      <sz val="11"/>
      <name val="Calibri Light"/>
      <family val="2"/>
      <scheme val="major"/>
    </font>
    <font>
      <sz val="11"/>
      <name val="Tahoma"/>
      <family val="2"/>
    </font>
    <font>
      <b/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i/>
      <sz val="10"/>
      <color theme="1"/>
      <name val="Tahoma"/>
      <family val="2"/>
    </font>
    <font>
      <b/>
      <sz val="10"/>
      <color theme="4" tint="-0.249977111117893"/>
      <name val="Calibri Light"/>
      <family val="2"/>
      <scheme val="major"/>
    </font>
    <font>
      <b/>
      <sz val="11.5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22"/>
      <color rgb="FFC00000"/>
      <name val="Calibri Light"/>
      <family val="2"/>
      <scheme val="major"/>
    </font>
    <font>
      <b/>
      <sz val="22"/>
      <color theme="0"/>
      <name val="Calibri Light"/>
      <family val="2"/>
      <scheme val="major"/>
    </font>
    <font>
      <b/>
      <sz val="16"/>
      <name val="Calibri Light"/>
      <family val="2"/>
      <scheme val="major"/>
    </font>
    <font>
      <sz val="18"/>
      <name val="Calibri Light"/>
      <family val="2"/>
      <scheme val="major"/>
    </font>
    <font>
      <sz val="11"/>
      <color rgb="FF006100"/>
      <name val="Calibri"/>
      <family val="2"/>
      <scheme val="minor"/>
    </font>
    <font>
      <sz val="20"/>
      <name val="Calibri Light"/>
      <family val="2"/>
      <scheme val="major"/>
    </font>
    <font>
      <b/>
      <sz val="16"/>
      <color theme="4" tint="-0.249977111117893"/>
      <name val="Calibri"/>
      <family val="2"/>
      <scheme val="minor"/>
    </font>
    <font>
      <b/>
      <sz val="24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Wingdings"/>
      <charset val="2"/>
    </font>
    <font>
      <b/>
      <sz val="12"/>
      <color rgb="FFFF0000"/>
      <name val="Calibri"/>
      <family val="2"/>
      <scheme val="minor"/>
    </font>
    <font>
      <sz val="18"/>
      <color theme="1"/>
      <name val="Wingdings"/>
      <charset val="2"/>
    </font>
    <font>
      <b/>
      <sz val="12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26"/>
      <color rgb="FF00B050"/>
      <name val="Wingdings"/>
      <charset val="2"/>
    </font>
    <font>
      <sz val="26"/>
      <color theme="7"/>
      <name val="Wingdings"/>
      <charset val="2"/>
    </font>
    <font>
      <sz val="26"/>
      <color rgb="FFFF0000"/>
      <name val="Wingdings"/>
      <charset val="2"/>
    </font>
    <font>
      <sz val="1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b/>
      <sz val="26"/>
      <color theme="9" tint="-0.249977111117893"/>
      <name val="Wingdings"/>
      <charset val="2"/>
    </font>
    <font>
      <b/>
      <sz val="26"/>
      <color rgb="FFFF0000"/>
      <name val="Wingdings"/>
      <charset val="2"/>
    </font>
    <font>
      <b/>
      <sz val="12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Aharoni"/>
      <charset val="177"/>
    </font>
    <font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9"/>
      <color theme="0"/>
      <name val="Aharoni"/>
      <charset val="177"/>
    </font>
    <font>
      <b/>
      <sz val="24"/>
      <color theme="0"/>
      <name val="Calibri"/>
      <family val="2"/>
      <scheme val="minor"/>
    </font>
    <font>
      <b/>
      <sz val="16"/>
      <color theme="0"/>
      <name val="Aharoni"/>
      <charset val="177"/>
    </font>
    <font>
      <b/>
      <sz val="12"/>
      <color theme="0"/>
      <name val="Tahoma"/>
      <family val="2"/>
    </font>
    <font>
      <b/>
      <sz val="14"/>
      <color theme="1"/>
      <name val="Tahoma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2"/>
      <name val="Tahoma"/>
      <family val="2"/>
    </font>
    <font>
      <sz val="10"/>
      <color rgb="FFFF0000"/>
      <name val="Tahoma"/>
      <family val="2"/>
    </font>
    <font>
      <sz val="10"/>
      <color theme="0" tint="-0.34998626667073579"/>
      <name val="Tahoma"/>
      <family val="2"/>
    </font>
    <font>
      <sz val="9"/>
      <color theme="0" tint="-0.34998626667073579"/>
      <name val="Tahoma"/>
      <family val="2"/>
    </font>
    <font>
      <b/>
      <sz val="12"/>
      <color theme="9" tint="-0.499984740745262"/>
      <name val="Tahoma"/>
      <family val="2"/>
    </font>
    <font>
      <b/>
      <sz val="10"/>
      <color theme="1"/>
      <name val="Calibri"/>
      <family val="2"/>
    </font>
    <font>
      <b/>
      <sz val="11"/>
      <color rgb="FFFF0000"/>
      <name val="Tahoma"/>
      <family val="2"/>
    </font>
    <font>
      <b/>
      <sz val="18"/>
      <color rgb="FF20A5CE"/>
      <name val="Aharoni"/>
      <charset val="177"/>
    </font>
    <font>
      <b/>
      <sz val="12"/>
      <color rgb="FF20A5CE"/>
      <name val="Calibri"/>
      <family val="2"/>
      <scheme val="minor"/>
    </font>
    <font>
      <sz val="11"/>
      <color rgb="FF20A5CE"/>
      <name val="Calibri"/>
      <family val="2"/>
      <scheme val="minor"/>
    </font>
    <font>
      <b/>
      <sz val="14"/>
      <color rgb="FF20A5CE"/>
      <name val="Calibri"/>
      <family val="2"/>
      <scheme val="minor"/>
    </font>
    <font>
      <b/>
      <sz val="11"/>
      <color rgb="FF20A5CE"/>
      <name val="Calibri"/>
      <family val="2"/>
      <scheme val="minor"/>
    </font>
    <font>
      <b/>
      <sz val="11"/>
      <color rgb="FF20A5CE"/>
      <name val="Calibri"/>
      <family val="2"/>
    </font>
    <font>
      <sz val="11"/>
      <color theme="0"/>
      <name val="Calibri"/>
      <family val="2"/>
      <scheme val="minor"/>
    </font>
    <font>
      <b/>
      <sz val="24"/>
      <color rgb="FF20A5CE"/>
      <name val="Arial Black"/>
      <family val="2"/>
    </font>
    <font>
      <b/>
      <sz val="20"/>
      <color rgb="FF20A5CE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Wingdings"/>
      <charset val="2"/>
    </font>
    <font>
      <sz val="8"/>
      <color theme="1"/>
      <name val="Tahoma"/>
      <family val="2"/>
    </font>
    <font>
      <b/>
      <sz val="30"/>
      <color rgb="FF20A5CE"/>
      <name val="Calibri Light"/>
      <family val="2"/>
      <scheme val="major"/>
    </font>
    <font>
      <b/>
      <sz val="9"/>
      <color theme="1"/>
      <name val="Tahoma"/>
      <family val="2"/>
    </font>
    <font>
      <b/>
      <sz val="19"/>
      <color rgb="FFFFC000"/>
      <name val="Aharoni"/>
      <charset val="177"/>
    </font>
    <font>
      <b/>
      <sz val="12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4"/>
      <color rgb="FFFFC000"/>
      <name val="Calibri"/>
      <family val="2"/>
    </font>
    <font>
      <b/>
      <sz val="14"/>
      <color rgb="FFFFC000"/>
      <name val="Calibri Light"/>
      <family val="2"/>
      <scheme val="major"/>
    </font>
    <font>
      <b/>
      <sz val="22"/>
      <color rgb="FFFFC000"/>
      <name val="Calibri Light"/>
      <family val="2"/>
      <scheme val="major"/>
    </font>
    <font>
      <b/>
      <sz val="16"/>
      <color rgb="FFFFC000"/>
      <name val="Calibri Light"/>
      <family val="2"/>
      <scheme val="major"/>
    </font>
    <font>
      <b/>
      <sz val="20"/>
      <color rgb="FFFFC000"/>
      <name val="Calibri Light"/>
      <family val="2"/>
      <scheme val="major"/>
    </font>
    <font>
      <b/>
      <sz val="12"/>
      <color rgb="FFFFC000"/>
      <name val="Calibri Light"/>
      <family val="2"/>
    </font>
    <font>
      <b/>
      <sz val="24"/>
      <color rgb="FF0066FF"/>
      <name val="Arial Black"/>
      <family val="2"/>
    </font>
    <font>
      <b/>
      <sz val="14"/>
      <color rgb="FFFFC000"/>
      <name val="Aharoni"/>
      <charset val="177"/>
    </font>
    <font>
      <b/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7"/>
      <color rgb="FF0066FF"/>
      <name val="Calibri"/>
      <family val="2"/>
      <scheme val="minor"/>
    </font>
    <font>
      <b/>
      <sz val="8"/>
      <color rgb="FF0066FF"/>
      <name val="Calibri"/>
      <family val="2"/>
      <scheme val="minor"/>
    </font>
    <font>
      <b/>
      <sz val="9"/>
      <color rgb="FF0066FF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D3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20A5CE"/>
        <bgColor indexed="64"/>
      </patternFill>
    </fill>
    <fill>
      <patternFill patternType="solid">
        <fgColor rgb="FF00B05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double">
        <color rgb="FF92D050"/>
      </left>
      <right style="double">
        <color rgb="FF92D050"/>
      </right>
      <top style="double">
        <color rgb="FF92D050"/>
      </top>
      <bottom style="double">
        <color rgb="FF92D050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medium">
        <color theme="0" tint="-0.14996795556505021"/>
      </left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20A5CE"/>
      </left>
      <right style="thin">
        <color indexed="64"/>
      </right>
      <top style="thick">
        <color rgb="FF20A5CE"/>
      </top>
      <bottom style="thick">
        <color rgb="FF20A5CE"/>
      </bottom>
      <diagonal/>
    </border>
    <border>
      <left style="thin">
        <color indexed="64"/>
      </left>
      <right style="thin">
        <color indexed="64"/>
      </right>
      <top style="thick">
        <color rgb="FF20A5CE"/>
      </top>
      <bottom style="thick">
        <color rgb="FF20A5CE"/>
      </bottom>
      <diagonal/>
    </border>
    <border>
      <left style="thin">
        <color indexed="64"/>
      </left>
      <right style="thick">
        <color rgb="FF20A5CE"/>
      </right>
      <top style="thick">
        <color rgb="FF20A5CE"/>
      </top>
      <bottom style="thick">
        <color rgb="FF20A5CE"/>
      </bottom>
      <diagonal/>
    </border>
    <border>
      <left style="double">
        <color rgb="FF20A5CE"/>
      </left>
      <right style="thin">
        <color indexed="64"/>
      </right>
      <top style="double">
        <color rgb="FF20A5CE"/>
      </top>
      <bottom style="double">
        <color rgb="FF20A5CE"/>
      </bottom>
      <diagonal/>
    </border>
    <border>
      <left style="thin">
        <color indexed="64"/>
      </left>
      <right style="thin">
        <color indexed="64"/>
      </right>
      <top style="double">
        <color rgb="FF20A5CE"/>
      </top>
      <bottom style="double">
        <color rgb="FF20A5CE"/>
      </bottom>
      <diagonal/>
    </border>
    <border>
      <left style="thin">
        <color indexed="64"/>
      </left>
      <right style="double">
        <color rgb="FF20A5CE"/>
      </right>
      <top style="double">
        <color rgb="FF20A5CE"/>
      </top>
      <bottom style="double">
        <color rgb="FF20A5CE"/>
      </bottom>
      <diagonal/>
    </border>
    <border>
      <left style="thin">
        <color theme="4" tint="0.79998168889431442"/>
      </left>
      <right style="thick">
        <color theme="8" tint="-0.24994659260841701"/>
      </right>
      <top style="thin">
        <color theme="4" tint="0.79998168889431442"/>
      </top>
      <bottom style="thick">
        <color theme="8" tint="-0.24994659260841701"/>
      </bottom>
      <diagonal/>
    </border>
    <border>
      <left style="thick">
        <color rgb="FF20A5CE"/>
      </left>
      <right/>
      <top style="thick">
        <color rgb="FF20A5CE"/>
      </top>
      <bottom style="thick">
        <color rgb="FF20A5CE"/>
      </bottom>
      <diagonal/>
    </border>
    <border>
      <left/>
      <right/>
      <top style="thick">
        <color rgb="FF20A5CE"/>
      </top>
      <bottom style="thick">
        <color rgb="FF20A5CE"/>
      </bottom>
      <diagonal/>
    </border>
    <border>
      <left/>
      <right style="thick">
        <color rgb="FF20A5CE"/>
      </right>
      <top style="thick">
        <color rgb="FF20A5CE"/>
      </top>
      <bottom style="thick">
        <color rgb="FF20A5CE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64" fillId="0" borderId="0" applyNumberFormat="0" applyFill="0" applyBorder="0" applyAlignment="0" applyProtection="0"/>
  </cellStyleXfs>
  <cellXfs count="567">
    <xf numFmtId="0" fontId="0" fillId="0" borderId="0" xfId="0"/>
    <xf numFmtId="0" fontId="2" fillId="0" borderId="0" xfId="0" applyFont="1"/>
    <xf numFmtId="0" fontId="4" fillId="0" borderId="0" xfId="0" applyFont="1"/>
    <xf numFmtId="0" fontId="8" fillId="0" borderId="0" xfId="0" applyFont="1"/>
    <xf numFmtId="0" fontId="3" fillId="6" borderId="1" xfId="0" applyFont="1" applyFill="1" applyBorder="1" applyAlignment="1">
      <alignment horizontal="center"/>
    </xf>
    <xf numFmtId="167" fontId="4" fillId="0" borderId="0" xfId="0" applyNumberFormat="1" applyFont="1"/>
    <xf numFmtId="3" fontId="4" fillId="0" borderId="0" xfId="0" applyNumberFormat="1" applyFont="1"/>
    <xf numFmtId="168" fontId="4" fillId="0" borderId="0" xfId="0" applyNumberFormat="1" applyFont="1"/>
    <xf numFmtId="165" fontId="4" fillId="0" borderId="0" xfId="0" applyNumberFormat="1" applyFont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0" borderId="1" xfId="0" applyNumberFormat="1" applyFont="1" applyBorder="1"/>
    <xf numFmtId="167" fontId="4" fillId="0" borderId="1" xfId="0" applyNumberFormat="1" applyFont="1" applyBorder="1"/>
    <xf numFmtId="0" fontId="4" fillId="0" borderId="1" xfId="0" applyFont="1" applyBorder="1"/>
    <xf numFmtId="0" fontId="8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/>
    <xf numFmtId="14" fontId="4" fillId="6" borderId="1" xfId="0" applyNumberFormat="1" applyFont="1" applyFill="1" applyBorder="1"/>
    <xf numFmtId="0" fontId="4" fillId="4" borderId="1" xfId="0" applyFont="1" applyFill="1" applyBorder="1"/>
    <xf numFmtId="0" fontId="4" fillId="3" borderId="1" xfId="0" applyFont="1" applyFill="1" applyBorder="1"/>
    <xf numFmtId="4" fontId="4" fillId="7" borderId="1" xfId="0" applyNumberFormat="1" applyFont="1" applyFill="1" applyBorder="1"/>
    <xf numFmtId="0" fontId="10" fillId="0" borderId="0" xfId="0" applyFont="1"/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0" borderId="1" xfId="0" applyNumberFormat="1" applyFont="1" applyBorder="1"/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165" fontId="4" fillId="15" borderId="1" xfId="0" applyNumberFormat="1" applyFont="1" applyFill="1" applyBorder="1"/>
    <xf numFmtId="14" fontId="4" fillId="15" borderId="1" xfId="0" applyNumberFormat="1" applyFont="1" applyFill="1" applyBorder="1"/>
    <xf numFmtId="0" fontId="4" fillId="14" borderId="1" xfId="0" applyFont="1" applyFill="1" applyBorder="1"/>
    <xf numFmtId="14" fontId="4" fillId="14" borderId="1" xfId="0" applyNumberFormat="1" applyFont="1" applyFill="1" applyBorder="1"/>
    <xf numFmtId="4" fontId="4" fillId="17" borderId="6" xfId="0" applyNumberFormat="1" applyFont="1" applyFill="1" applyBorder="1"/>
    <xf numFmtId="4" fontId="4" fillId="17" borderId="1" xfId="0" applyNumberFormat="1" applyFont="1" applyFill="1" applyBorder="1"/>
    <xf numFmtId="4" fontId="4" fillId="15" borderId="1" xfId="0" applyNumberFormat="1" applyFont="1" applyFill="1" applyBorder="1"/>
    <xf numFmtId="4" fontId="4" fillId="16" borderId="1" xfId="0" applyNumberFormat="1" applyFont="1" applyFill="1" applyBorder="1"/>
    <xf numFmtId="4" fontId="4" fillId="18" borderId="1" xfId="0" applyNumberFormat="1" applyFont="1" applyFill="1" applyBorder="1"/>
    <xf numFmtId="4" fontId="6" fillId="19" borderId="1" xfId="0" applyNumberFormat="1" applyFont="1" applyFill="1" applyBorder="1"/>
    <xf numFmtId="3" fontId="6" fillId="19" borderId="1" xfId="0" applyNumberFormat="1" applyFont="1" applyFill="1" applyBorder="1"/>
    <xf numFmtId="0" fontId="6" fillId="19" borderId="1" xfId="0" applyFont="1" applyFill="1" applyBorder="1"/>
    <xf numFmtId="0" fontId="6" fillId="19" borderId="1" xfId="0" applyFont="1" applyFill="1" applyBorder="1" applyAlignment="1">
      <alignment horizontal="center"/>
    </xf>
    <xf numFmtId="14" fontId="6" fillId="19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hidden="1"/>
    </xf>
    <xf numFmtId="0" fontId="8" fillId="17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4" fillId="7" borderId="1" xfId="0" applyNumberFormat="1" applyFont="1" applyFill="1" applyBorder="1" applyAlignment="1">
      <alignment horizontal="center"/>
    </xf>
    <xf numFmtId="14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5" borderId="1" xfId="0" applyFont="1" applyFill="1" applyBorder="1"/>
    <xf numFmtId="166" fontId="4" fillId="3" borderId="1" xfId="0" applyNumberFormat="1" applyFont="1" applyFill="1" applyBorder="1"/>
    <xf numFmtId="0" fontId="4" fillId="8" borderId="1" xfId="0" applyFont="1" applyFill="1" applyBorder="1"/>
    <xf numFmtId="172" fontId="4" fillId="0" borderId="0" xfId="1" applyNumberFormat="1" applyFont="1"/>
    <xf numFmtId="0" fontId="13" fillId="0" borderId="1" xfId="0" applyFont="1" applyBorder="1" applyAlignment="1">
      <alignment horizontal="right"/>
    </xf>
    <xf numFmtId="169" fontId="13" fillId="0" borderId="1" xfId="1" applyNumberFormat="1" applyFont="1" applyBorder="1"/>
    <xf numFmtId="0" fontId="2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7" fontId="17" fillId="0" borderId="15" xfId="0" applyNumberFormat="1" applyFont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7" fontId="17" fillId="0" borderId="1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167" fontId="17" fillId="0" borderId="18" xfId="0" applyNumberFormat="1" applyFont="1" applyBorder="1" applyAlignment="1">
      <alignment horizontal="center" vertical="center"/>
    </xf>
    <xf numFmtId="167" fontId="17" fillId="0" borderId="19" xfId="0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70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169" fontId="4" fillId="0" borderId="0" xfId="0" applyNumberFormat="1" applyFont="1"/>
    <xf numFmtId="14" fontId="4" fillId="0" borderId="0" xfId="0" applyNumberFormat="1" applyFont="1"/>
    <xf numFmtId="173" fontId="21" fillId="9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/>
    <xf numFmtId="0" fontId="22" fillId="0" borderId="1" xfId="0" applyFont="1" applyBorder="1"/>
    <xf numFmtId="0" fontId="2" fillId="0" borderId="1" xfId="0" applyFont="1" applyBorder="1"/>
    <xf numFmtId="4" fontId="22" fillId="0" borderId="1" xfId="0" applyNumberFormat="1" applyFont="1" applyBorder="1"/>
    <xf numFmtId="0" fontId="25" fillId="19" borderId="1" xfId="0" applyFont="1" applyFill="1" applyBorder="1"/>
    <xf numFmtId="4" fontId="22" fillId="17" borderId="6" xfId="0" applyNumberFormat="1" applyFont="1" applyFill="1" applyBorder="1"/>
    <xf numFmtId="4" fontId="22" fillId="17" borderId="1" xfId="0" applyNumberFormat="1" applyFont="1" applyFill="1" applyBorder="1"/>
    <xf numFmtId="4" fontId="22" fillId="15" borderId="1" xfId="0" applyNumberFormat="1" applyFont="1" applyFill="1" applyBorder="1"/>
    <xf numFmtId="4" fontId="22" fillId="16" borderId="1" xfId="0" applyNumberFormat="1" applyFont="1" applyFill="1" applyBorder="1"/>
    <xf numFmtId="4" fontId="22" fillId="18" borderId="1" xfId="0" applyNumberFormat="1" applyFont="1" applyFill="1" applyBorder="1"/>
    <xf numFmtId="4" fontId="25" fillId="19" borderId="1" xfId="0" applyNumberFormat="1" applyFont="1" applyFill="1" applyBorder="1"/>
    <xf numFmtId="3" fontId="25" fillId="19" borderId="1" xfId="0" applyNumberFormat="1" applyFont="1" applyFill="1" applyBorder="1"/>
    <xf numFmtId="0" fontId="19" fillId="0" borderId="0" xfId="0" applyFont="1" applyAlignment="1">
      <alignment horizontal="center" vertical="top" wrapText="1"/>
    </xf>
    <xf numFmtId="0" fontId="17" fillId="0" borderId="12" xfId="0" applyFont="1" applyBorder="1" applyAlignment="1">
      <alignment vertical="center"/>
    </xf>
    <xf numFmtId="0" fontId="22" fillId="0" borderId="27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20" borderId="0" xfId="0" applyFont="1" applyFill="1"/>
    <xf numFmtId="0" fontId="29" fillId="20" borderId="0" xfId="0" applyFont="1" applyFill="1"/>
    <xf numFmtId="0" fontId="30" fillId="20" borderId="0" xfId="0" applyFont="1" applyFill="1" applyAlignment="1">
      <alignment vertical="center"/>
    </xf>
    <xf numFmtId="0" fontId="30" fillId="20" borderId="28" xfId="0" applyFont="1" applyFill="1" applyBorder="1" applyAlignment="1">
      <alignment vertical="center"/>
    </xf>
    <xf numFmtId="0" fontId="30" fillId="20" borderId="27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9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71" fontId="32" fillId="0" borderId="0" xfId="0" applyNumberFormat="1" applyFont="1" applyAlignment="1">
      <alignment horizontal="left"/>
    </xf>
    <xf numFmtId="9" fontId="4" fillId="0" borderId="0" xfId="0" applyNumberFormat="1" applyFont="1"/>
    <xf numFmtId="0" fontId="4" fillId="7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4" fontId="4" fillId="0" borderId="1" xfId="0" applyNumberFormat="1" applyFont="1" applyBorder="1"/>
    <xf numFmtId="0" fontId="8" fillId="21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175" fontId="3" fillId="0" borderId="1" xfId="0" applyNumberFormat="1" applyFont="1" applyBorder="1" applyAlignment="1">
      <alignment horizontal="left"/>
    </xf>
    <xf numFmtId="0" fontId="8" fillId="0" borderId="1" xfId="0" applyFont="1" applyBorder="1"/>
    <xf numFmtId="9" fontId="8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20" borderId="1" xfId="0" applyFont="1" applyFill="1" applyBorder="1" applyAlignment="1">
      <alignment horizontal="left"/>
    </xf>
    <xf numFmtId="10" fontId="3" fillId="20" borderId="1" xfId="0" applyNumberFormat="1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4" fillId="0" borderId="0" xfId="0" quotePrefix="1" applyFont="1"/>
    <xf numFmtId="0" fontId="37" fillId="0" borderId="0" xfId="0" applyFont="1"/>
    <xf numFmtId="0" fontId="38" fillId="0" borderId="0" xfId="0" applyFont="1"/>
    <xf numFmtId="0" fontId="0" fillId="0" borderId="0" xfId="0" applyAlignment="1">
      <alignment horizontal="center" vertical="center"/>
    </xf>
    <xf numFmtId="44" fontId="0" fillId="0" borderId="0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 wrapText="1"/>
    </xf>
    <xf numFmtId="0" fontId="40" fillId="0" borderId="0" xfId="0" applyFont="1"/>
    <xf numFmtId="0" fontId="42" fillId="0" borderId="0" xfId="3" applyFont="1"/>
    <xf numFmtId="16" fontId="15" fillId="0" borderId="1" xfId="3" applyNumberFormat="1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3" fontId="46" fillId="0" borderId="0" xfId="3" applyNumberFormat="1" applyFont="1"/>
    <xf numFmtId="0" fontId="42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0" fontId="44" fillId="20" borderId="0" xfId="3" applyFont="1" applyFill="1" applyAlignment="1">
      <alignment vertical="center"/>
    </xf>
    <xf numFmtId="0" fontId="45" fillId="20" borderId="0" xfId="3" applyFont="1" applyFill="1" applyAlignment="1">
      <alignment vertical="center"/>
    </xf>
    <xf numFmtId="177" fontId="43" fillId="0" borderId="3" xfId="3" applyNumberFormat="1" applyFont="1" applyBorder="1"/>
    <xf numFmtId="177" fontId="43" fillId="0" borderId="0" xfId="3" applyNumberFormat="1" applyFont="1"/>
    <xf numFmtId="3" fontId="0" fillId="0" borderId="0" xfId="0" applyNumberFormat="1" applyAlignment="1">
      <alignment vertical="center"/>
    </xf>
    <xf numFmtId="14" fontId="3" fillId="0" borderId="1" xfId="0" quotePrefix="1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75" fontId="3" fillId="0" borderId="1" xfId="0" applyNumberFormat="1" applyFont="1" applyBorder="1" applyAlignment="1">
      <alignment horizontal="center"/>
    </xf>
    <xf numFmtId="10" fontId="5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51" fillId="0" borderId="0" xfId="0" applyFont="1" applyAlignment="1">
      <alignment wrapText="1"/>
    </xf>
    <xf numFmtId="0" fontId="0" fillId="0" borderId="0" xfId="0" applyAlignment="1">
      <alignment horizontal="left"/>
    </xf>
    <xf numFmtId="0" fontId="53" fillId="0" borderId="0" xfId="0" applyFont="1" applyAlignment="1">
      <alignment horizontal="right"/>
    </xf>
    <xf numFmtId="0" fontId="52" fillId="0" borderId="0" xfId="0" applyFont="1" applyAlignment="1">
      <alignment horizontal="right" vertical="center"/>
    </xf>
    <xf numFmtId="0" fontId="0" fillId="17" borderId="1" xfId="0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3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right" vertical="center"/>
    </xf>
    <xf numFmtId="0" fontId="6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5" fillId="0" borderId="0" xfId="0" applyFont="1" applyAlignment="1">
      <alignment horizontal="right" vertical="top"/>
    </xf>
    <xf numFmtId="0" fontId="53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3" fillId="0" borderId="0" xfId="0" applyFont="1" applyAlignment="1">
      <alignment horizontal="right" vertical="center"/>
    </xf>
    <xf numFmtId="0" fontId="65" fillId="0" borderId="0" xfId="5" applyFont="1" applyFill="1" applyBorder="1" applyAlignment="1">
      <alignment horizontal="center"/>
    </xf>
    <xf numFmtId="0" fontId="0" fillId="17" borderId="1" xfId="0" applyFill="1" applyBorder="1" applyAlignment="1">
      <alignment vertical="center" wrapText="1"/>
    </xf>
    <xf numFmtId="0" fontId="0" fillId="0" borderId="0" xfId="0" applyAlignment="1">
      <alignment horizontal="right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14" borderId="1" xfId="0" applyFill="1" applyBorder="1" applyAlignment="1">
      <alignment horizontal="left" vertical="justify" wrapText="1"/>
    </xf>
    <xf numFmtId="0" fontId="0" fillId="14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0" fontId="0" fillId="21" borderId="1" xfId="0" applyFill="1" applyBorder="1" applyAlignment="1">
      <alignment horizontal="left" vertical="center" wrapText="1"/>
    </xf>
    <xf numFmtId="0" fontId="0" fillId="21" borderId="1" xfId="0" applyFill="1" applyBorder="1" applyAlignment="1">
      <alignment horizontal="center" vertical="top" wrapText="1"/>
    </xf>
    <xf numFmtId="0" fontId="52" fillId="0" borderId="0" xfId="0" applyFont="1" applyAlignment="1">
      <alignment vertical="center"/>
    </xf>
    <xf numFmtId="0" fontId="0" fillId="21" borderId="36" xfId="0" applyFill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/>
    </xf>
    <xf numFmtId="0" fontId="0" fillId="21" borderId="38" xfId="0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4" fontId="4" fillId="0" borderId="0" xfId="0" applyNumberFormat="1" applyFont="1"/>
    <xf numFmtId="0" fontId="4" fillId="29" borderId="0" xfId="0" applyFont="1" applyFill="1"/>
    <xf numFmtId="4" fontId="4" fillId="29" borderId="0" xfId="0" applyNumberFormat="1" applyFont="1" applyFill="1"/>
    <xf numFmtId="0" fontId="4" fillId="30" borderId="0" xfId="0" applyFont="1" applyFill="1"/>
    <xf numFmtId="4" fontId="4" fillId="30" borderId="0" xfId="0" applyNumberFormat="1" applyFont="1" applyFill="1"/>
    <xf numFmtId="4" fontId="8" fillId="29" borderId="0" xfId="0" applyNumberFormat="1" applyFont="1" applyFill="1"/>
    <xf numFmtId="4" fontId="8" fillId="30" borderId="0" xfId="0" applyNumberFormat="1" applyFont="1" applyFill="1"/>
    <xf numFmtId="14" fontId="14" fillId="0" borderId="1" xfId="0" applyNumberFormat="1" applyFont="1" applyBorder="1"/>
    <xf numFmtId="4" fontId="14" fillId="31" borderId="1" xfId="0" applyNumberFormat="1" applyFont="1" applyFill="1" applyBorder="1"/>
    <xf numFmtId="4" fontId="14" fillId="32" borderId="1" xfId="0" applyNumberFormat="1" applyFont="1" applyFill="1" applyBorder="1"/>
    <xf numFmtId="0" fontId="21" fillId="0" borderId="0" xfId="0" applyFont="1"/>
    <xf numFmtId="4" fontId="74" fillId="0" borderId="1" xfId="0" applyNumberFormat="1" applyFont="1" applyBorder="1"/>
    <xf numFmtId="0" fontId="73" fillId="0" borderId="1" xfId="0" applyFont="1" applyBorder="1" applyAlignment="1">
      <alignment horizontal="right"/>
    </xf>
    <xf numFmtId="4" fontId="20" fillId="31" borderId="1" xfId="0" applyNumberFormat="1" applyFont="1" applyFill="1" applyBorder="1"/>
    <xf numFmtId="4" fontId="20" fillId="32" borderId="1" xfId="0" applyNumberFormat="1" applyFont="1" applyFill="1" applyBorder="1"/>
    <xf numFmtId="4" fontId="20" fillId="33" borderId="1" xfId="0" applyNumberFormat="1" applyFont="1" applyFill="1" applyBorder="1"/>
    <xf numFmtId="4" fontId="20" fillId="32" borderId="1" xfId="0" applyNumberFormat="1" applyFont="1" applyFill="1" applyBorder="1" applyAlignment="1">
      <alignment horizontal="center" vertical="center"/>
    </xf>
    <xf numFmtId="4" fontId="8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4" fontId="20" fillId="33" borderId="1" xfId="0" applyNumberFormat="1" applyFont="1" applyFill="1" applyBorder="1" applyAlignment="1">
      <alignment horizontal="center" vertical="center"/>
    </xf>
    <xf numFmtId="4" fontId="14" fillId="33" borderId="1" xfId="0" applyNumberFormat="1" applyFont="1" applyFill="1" applyBorder="1"/>
    <xf numFmtId="0" fontId="32" fillId="0" borderId="40" xfId="0" applyFont="1" applyBorder="1" applyAlignment="1">
      <alignment horizontal="center" vertical="center"/>
    </xf>
    <xf numFmtId="164" fontId="77" fillId="0" borderId="43" xfId="0" applyNumberFormat="1" applyFont="1" applyBorder="1" applyAlignment="1">
      <alignment horizontal="center" vertical="center"/>
    </xf>
    <xf numFmtId="169" fontId="4" fillId="3" borderId="1" xfId="1" applyNumberFormat="1" applyFont="1" applyFill="1" applyBorder="1"/>
    <xf numFmtId="2" fontId="4" fillId="0" borderId="0" xfId="0" applyNumberFormat="1" applyFont="1"/>
    <xf numFmtId="169" fontId="4" fillId="0" borderId="0" xfId="1" applyNumberFormat="1" applyFont="1" applyFill="1"/>
    <xf numFmtId="0" fontId="56" fillId="0" borderId="0" xfId="0" applyFont="1"/>
    <xf numFmtId="0" fontId="79" fillId="0" borderId="0" xfId="0" applyFont="1"/>
    <xf numFmtId="0" fontId="23" fillId="22" borderId="34" xfId="3" applyFont="1" applyFill="1" applyBorder="1" applyAlignment="1">
      <alignment horizontal="center" vertical="center" wrapText="1"/>
    </xf>
    <xf numFmtId="0" fontId="4" fillId="7" borderId="0" xfId="0" applyFont="1" applyFill="1"/>
    <xf numFmtId="0" fontId="8" fillId="7" borderId="0" xfId="0" applyFont="1" applyFill="1"/>
    <xf numFmtId="0" fontId="3" fillId="3" borderId="0" xfId="0" applyFont="1" applyFill="1"/>
    <xf numFmtId="10" fontId="8" fillId="25" borderId="1" xfId="0" applyNumberFormat="1" applyFont="1" applyFill="1" applyBorder="1" applyAlignment="1">
      <alignment horizontal="right"/>
    </xf>
    <xf numFmtId="179" fontId="8" fillId="25" borderId="1" xfId="0" applyNumberFormat="1" applyFont="1" applyFill="1" applyBorder="1" applyAlignment="1">
      <alignment horizontal="right"/>
    </xf>
    <xf numFmtId="10" fontId="4" fillId="0" borderId="1" xfId="1" applyNumberFormat="1" applyFont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167" fontId="20" fillId="0" borderId="29" xfId="0" applyNumberFormat="1" applyFont="1" applyBorder="1" applyAlignment="1">
      <alignment horizontal="center" vertical="center"/>
    </xf>
    <xf numFmtId="167" fontId="20" fillId="0" borderId="21" xfId="0" applyNumberFormat="1" applyFont="1" applyBorder="1" applyAlignment="1">
      <alignment horizontal="center" vertical="center"/>
    </xf>
    <xf numFmtId="167" fontId="20" fillId="0" borderId="22" xfId="0" applyNumberFormat="1" applyFont="1" applyBorder="1" applyAlignment="1">
      <alignment horizontal="center" vertical="center"/>
    </xf>
    <xf numFmtId="0" fontId="4" fillId="28" borderId="0" xfId="0" applyFont="1" applyFill="1"/>
    <xf numFmtId="0" fontId="8" fillId="17" borderId="1" xfId="0" applyFont="1" applyFill="1" applyBorder="1"/>
    <xf numFmtId="14" fontId="4" fillId="17" borderId="1" xfId="0" applyNumberFormat="1" applyFont="1" applyFill="1" applyBorder="1"/>
    <xf numFmtId="3" fontId="8" fillId="0" borderId="1" xfId="0" applyNumberFormat="1" applyFont="1" applyBorder="1"/>
    <xf numFmtId="0" fontId="4" fillId="28" borderId="1" xfId="0" applyFont="1" applyFill="1" applyBorder="1"/>
    <xf numFmtId="0" fontId="4" fillId="28" borderId="1" xfId="0" applyFont="1" applyFill="1" applyBorder="1" applyAlignment="1">
      <alignment horizontal="center"/>
    </xf>
    <xf numFmtId="10" fontId="86" fillId="35" borderId="1" xfId="0" applyNumberFormat="1" applyFont="1" applyFill="1" applyBorder="1" applyAlignment="1">
      <alignment horizontal="right"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10" fontId="89" fillId="0" borderId="0" xfId="0" applyNumberFormat="1" applyFont="1"/>
    <xf numFmtId="0" fontId="89" fillId="0" borderId="0" xfId="0" applyFont="1"/>
    <xf numFmtId="0" fontId="90" fillId="0" borderId="0" xfId="0" applyFont="1"/>
    <xf numFmtId="172" fontId="0" fillId="0" borderId="0" xfId="1" applyNumberFormat="1" applyFont="1"/>
    <xf numFmtId="172" fontId="0" fillId="0" borderId="0" xfId="0" applyNumberFormat="1"/>
    <xf numFmtId="181" fontId="0" fillId="0" borderId="0" xfId="0" applyNumberFormat="1"/>
    <xf numFmtId="0" fontId="85" fillId="22" borderId="5" xfId="0" applyFont="1" applyFill="1" applyBorder="1" applyAlignment="1">
      <alignment horizontal="center"/>
    </xf>
    <xf numFmtId="0" fontId="93" fillId="36" borderId="5" xfId="0" applyFont="1" applyFill="1" applyBorder="1" applyAlignment="1">
      <alignment horizontal="center"/>
    </xf>
    <xf numFmtId="0" fontId="91" fillId="0" borderId="58" xfId="0" applyFont="1" applyBorder="1"/>
    <xf numFmtId="0" fontId="91" fillId="0" borderId="58" xfId="0" quotePrefix="1" applyFont="1" applyBorder="1"/>
    <xf numFmtId="0" fontId="4" fillId="0" borderId="58" xfId="0" applyFont="1" applyBorder="1"/>
    <xf numFmtId="0" fontId="4" fillId="31" borderId="0" xfId="0" applyFont="1" applyFill="1"/>
    <xf numFmtId="0" fontId="4" fillId="32" borderId="59" xfId="0" applyFont="1" applyFill="1" applyBorder="1"/>
    <xf numFmtId="0" fontId="4" fillId="32" borderId="5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82" fontId="91" fillId="0" borderId="0" xfId="0" applyNumberFormat="1" applyFont="1" applyAlignment="1">
      <alignment horizontal="center"/>
    </xf>
    <xf numFmtId="0" fontId="94" fillId="0" borderId="0" xfId="0" applyFont="1" applyAlignment="1">
      <alignment horizontal="right"/>
    </xf>
    <xf numFmtId="0" fontId="0" fillId="3" borderId="0" xfId="0" applyFill="1"/>
    <xf numFmtId="9" fontId="0" fillId="3" borderId="0" xfId="0" applyNumberFormat="1" applyFill="1"/>
    <xf numFmtId="0" fontId="32" fillId="0" borderId="0" xfId="0" applyFont="1"/>
    <xf numFmtId="173" fontId="21" fillId="0" borderId="3" xfId="0" applyNumberFormat="1" applyFont="1" applyBorder="1" applyAlignment="1">
      <alignment horizontal="center" vertical="center"/>
    </xf>
    <xf numFmtId="170" fontId="21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7" fontId="4" fillId="6" borderId="1" xfId="0" applyNumberFormat="1" applyFont="1" applyFill="1" applyBorder="1"/>
    <xf numFmtId="0" fontId="4" fillId="37" borderId="1" xfId="0" applyFont="1" applyFill="1" applyBorder="1"/>
    <xf numFmtId="0" fontId="8" fillId="6" borderId="1" xfId="0" applyFont="1" applyFill="1" applyBorder="1" applyAlignment="1">
      <alignment horizontal="center"/>
    </xf>
    <xf numFmtId="0" fontId="4" fillId="37" borderId="34" xfId="0" applyFont="1" applyFill="1" applyBorder="1"/>
    <xf numFmtId="0" fontId="95" fillId="0" borderId="0" xfId="0" applyFont="1"/>
    <xf numFmtId="4" fontId="2" fillId="0" borderId="1" xfId="0" applyNumberFormat="1" applyFont="1" applyBorder="1"/>
    <xf numFmtId="0" fontId="36" fillId="0" borderId="0" xfId="0" applyFont="1"/>
    <xf numFmtId="0" fontId="97" fillId="20" borderId="1" xfId="0" applyFont="1" applyFill="1" applyBorder="1" applyAlignment="1">
      <alignment vertical="center" wrapText="1"/>
    </xf>
    <xf numFmtId="176" fontId="98" fillId="20" borderId="1" xfId="0" applyNumberFormat="1" applyFont="1" applyFill="1" applyBorder="1" applyAlignment="1">
      <alignment horizontal="left" vertical="center"/>
    </xf>
    <xf numFmtId="0" fontId="98" fillId="20" borderId="1" xfId="0" applyFont="1" applyFill="1" applyBorder="1" applyAlignment="1">
      <alignment vertical="center" wrapText="1"/>
    </xf>
    <xf numFmtId="171" fontId="97" fillId="20" borderId="1" xfId="0" applyNumberFormat="1" applyFont="1" applyFill="1" applyBorder="1" applyAlignment="1">
      <alignment horizontal="left" vertical="center"/>
    </xf>
    <xf numFmtId="0" fontId="98" fillId="20" borderId="1" xfId="0" applyFont="1" applyFill="1" applyBorder="1" applyAlignment="1">
      <alignment vertical="center"/>
    </xf>
    <xf numFmtId="0" fontId="101" fillId="0" borderId="0" xfId="0" applyFont="1"/>
    <xf numFmtId="166" fontId="0" fillId="0" borderId="0" xfId="0" applyNumberFormat="1" applyAlignment="1">
      <alignment vertical="center"/>
    </xf>
    <xf numFmtId="184" fontId="4" fillId="0" borderId="0" xfId="0" applyNumberFormat="1" applyFont="1"/>
    <xf numFmtId="0" fontId="102" fillId="0" borderId="0" xfId="0" applyFont="1"/>
    <xf numFmtId="185" fontId="4" fillId="0" borderId="0" xfId="1" applyNumberFormat="1" applyFont="1"/>
    <xf numFmtId="166" fontId="4" fillId="0" borderId="0" xfId="0" applyNumberFormat="1" applyFont="1"/>
    <xf numFmtId="182" fontId="4" fillId="0" borderId="0" xfId="0" applyNumberFormat="1" applyFont="1"/>
    <xf numFmtId="186" fontId="4" fillId="0" borderId="0" xfId="0" applyNumberFormat="1" applyFont="1"/>
    <xf numFmtId="0" fontId="23" fillId="22" borderId="1" xfId="3" applyFont="1" applyFill="1" applyBorder="1" applyAlignment="1">
      <alignment horizontal="center" vertical="center" wrapText="1"/>
    </xf>
    <xf numFmtId="0" fontId="100" fillId="0" borderId="0" xfId="0" applyFont="1"/>
    <xf numFmtId="173" fontId="105" fillId="20" borderId="3" xfId="0" applyNumberFormat="1" applyFont="1" applyFill="1" applyBorder="1" applyAlignment="1">
      <alignment horizontal="center" vertical="center"/>
    </xf>
    <xf numFmtId="170" fontId="105" fillId="20" borderId="3" xfId="0" applyNumberFormat="1" applyFont="1" applyFill="1" applyBorder="1" applyAlignment="1">
      <alignment horizontal="center" vertical="center"/>
    </xf>
    <xf numFmtId="0" fontId="106" fillId="0" borderId="0" xfId="0" applyFont="1"/>
    <xf numFmtId="167" fontId="2" fillId="0" borderId="0" xfId="0" applyNumberFormat="1" applyFont="1"/>
    <xf numFmtId="0" fontId="97" fillId="0" borderId="1" xfId="0" applyFont="1" applyBorder="1" applyAlignment="1">
      <alignment vertical="center" wrapText="1"/>
    </xf>
    <xf numFmtId="1" fontId="99" fillId="20" borderId="1" xfId="0" applyNumberFormat="1" applyFont="1" applyFill="1" applyBorder="1" applyAlignment="1">
      <alignment horizontal="left" vertical="center"/>
    </xf>
    <xf numFmtId="176" fontId="97" fillId="0" borderId="1" xfId="0" applyNumberFormat="1" applyFont="1" applyBorder="1" applyAlignment="1">
      <alignment horizontal="left" vertical="center"/>
    </xf>
    <xf numFmtId="0" fontId="98" fillId="0" borderId="1" xfId="0" applyFont="1" applyBorder="1" applyAlignment="1">
      <alignment vertical="center" wrapText="1"/>
    </xf>
    <xf numFmtId="0" fontId="97" fillId="0" borderId="1" xfId="0" applyFont="1" applyBorder="1" applyAlignment="1">
      <alignment vertical="center"/>
    </xf>
    <xf numFmtId="171" fontId="99" fillId="0" borderId="1" xfId="0" applyNumberFormat="1" applyFont="1" applyBorder="1" applyAlignment="1">
      <alignment horizontal="left" vertical="center"/>
    </xf>
    <xf numFmtId="0" fontId="100" fillId="0" borderId="1" xfId="0" applyFont="1" applyBorder="1" applyAlignment="1">
      <alignment vertical="center" wrapText="1"/>
    </xf>
    <xf numFmtId="16" fontId="98" fillId="0" borderId="1" xfId="0" applyNumberFormat="1" applyFont="1" applyBorder="1" applyAlignment="1">
      <alignment horizontal="left" vertical="center"/>
    </xf>
    <xf numFmtId="175" fontId="98" fillId="0" borderId="1" xfId="0" applyNumberFormat="1" applyFont="1" applyBorder="1" applyAlignment="1">
      <alignment horizontal="left" vertical="center"/>
    </xf>
    <xf numFmtId="0" fontId="99" fillId="0" borderId="1" xfId="0" applyFont="1" applyBorder="1" applyAlignment="1">
      <alignment vertical="center"/>
    </xf>
    <xf numFmtId="171" fontId="97" fillId="0" borderId="1" xfId="0" applyNumberFormat="1" applyFont="1" applyBorder="1" applyAlignment="1">
      <alignment horizontal="left" vertical="center"/>
    </xf>
    <xf numFmtId="180" fontId="4" fillId="0" borderId="0" xfId="0" applyNumberFormat="1" applyFont="1"/>
    <xf numFmtId="0" fontId="107" fillId="0" borderId="0" xfId="0" applyFont="1"/>
    <xf numFmtId="187" fontId="107" fillId="0" borderId="0" xfId="0" applyNumberFormat="1" applyFont="1"/>
    <xf numFmtId="188" fontId="4" fillId="0" borderId="0" xfId="0" applyNumberFormat="1" applyFont="1"/>
    <xf numFmtId="0" fontId="8" fillId="7" borderId="1" xfId="0" applyFont="1" applyFill="1" applyBorder="1" applyAlignment="1">
      <alignment horizontal="center"/>
    </xf>
    <xf numFmtId="0" fontId="5" fillId="0" borderId="0" xfId="0" applyFont="1"/>
    <xf numFmtId="172" fontId="5" fillId="0" borderId="0" xfId="1" applyNumberFormat="1" applyFont="1" applyFill="1"/>
    <xf numFmtId="0" fontId="5" fillId="0" borderId="1" xfId="0" applyFont="1" applyBorder="1"/>
    <xf numFmtId="169" fontId="5" fillId="0" borderId="1" xfId="0" applyNumberFormat="1" applyFont="1" applyBorder="1"/>
    <xf numFmtId="10" fontId="5" fillId="0" borderId="1" xfId="1" applyNumberFormat="1" applyFont="1" applyFill="1" applyBorder="1"/>
    <xf numFmtId="169" fontId="5" fillId="0" borderId="1" xfId="1" applyNumberFormat="1" applyFont="1" applyFill="1" applyBorder="1"/>
    <xf numFmtId="1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94" fillId="39" borderId="0" xfId="0" applyFont="1" applyFill="1" applyAlignment="1">
      <alignment horizontal="right"/>
    </xf>
    <xf numFmtId="0" fontId="4" fillId="39" borderId="0" xfId="0" applyFont="1" applyFill="1"/>
    <xf numFmtId="184" fontId="4" fillId="39" borderId="0" xfId="0" applyNumberFormat="1" applyFont="1" applyFill="1"/>
    <xf numFmtId="169" fontId="4" fillId="39" borderId="0" xfId="1" applyNumberFormat="1" applyFont="1" applyFill="1"/>
    <xf numFmtId="169" fontId="4" fillId="39" borderId="0" xfId="0" applyNumberFormat="1" applyFont="1" applyFill="1"/>
    <xf numFmtId="42" fontId="100" fillId="34" borderId="39" xfId="2" applyNumberFormat="1" applyFont="1" applyFill="1" applyBorder="1" applyAlignment="1">
      <alignment horizontal="center" vertical="center"/>
    </xf>
    <xf numFmtId="10" fontId="102" fillId="34" borderId="66" xfId="4" applyNumberFormat="1" applyFont="1" applyFill="1" applyBorder="1" applyAlignment="1">
      <alignment horizontal="center" vertical="center"/>
    </xf>
    <xf numFmtId="0" fontId="98" fillId="0" borderId="0" xfId="0" applyFont="1"/>
    <xf numFmtId="0" fontId="4" fillId="8" borderId="2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9" fillId="31" borderId="1" xfId="0" applyFont="1" applyFill="1" applyBorder="1" applyAlignment="1">
      <alignment horizontal="center"/>
    </xf>
    <xf numFmtId="0" fontId="6" fillId="31" borderId="1" xfId="0" applyFont="1" applyFill="1" applyBorder="1"/>
    <xf numFmtId="0" fontId="109" fillId="3" borderId="0" xfId="0" applyFont="1" applyFill="1" applyAlignment="1">
      <alignment horizontal="center" vertical="center"/>
    </xf>
    <xf numFmtId="189" fontId="0" fillId="0" borderId="0" xfId="1" applyNumberFormat="1" applyFont="1"/>
    <xf numFmtId="0" fontId="79" fillId="0" borderId="0" xfId="0" applyFont="1" applyAlignment="1">
      <alignment horizontal="left" wrapText="1"/>
    </xf>
    <xf numFmtId="0" fontId="103" fillId="20" borderId="0" xfId="3" applyFont="1" applyFill="1" applyAlignment="1">
      <alignment vertical="center"/>
    </xf>
    <xf numFmtId="176" fontId="98" fillId="0" borderId="1" xfId="0" applyNumberFormat="1" applyFont="1" applyBorder="1" applyAlignment="1">
      <alignment horizontal="left" vertical="center"/>
    </xf>
    <xf numFmtId="10" fontId="99" fillId="0" borderId="1" xfId="0" applyNumberFormat="1" applyFont="1" applyBorder="1" applyAlignment="1">
      <alignment horizontal="left" vertical="center"/>
    </xf>
    <xf numFmtId="0" fontId="111" fillId="13" borderId="1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112" fillId="0" borderId="0" xfId="0" applyFont="1"/>
    <xf numFmtId="0" fontId="113" fillId="13" borderId="1" xfId="0" applyFont="1" applyFill="1" applyBorder="1" applyAlignment="1">
      <alignment vertical="center"/>
    </xf>
    <xf numFmtId="171" fontId="113" fillId="13" borderId="1" xfId="0" applyNumberFormat="1" applyFont="1" applyFill="1" applyBorder="1" applyAlignment="1">
      <alignment horizontal="left" vertical="center"/>
    </xf>
    <xf numFmtId="183" fontId="114" fillId="13" borderId="0" xfId="0" applyNumberFormat="1" applyFont="1" applyFill="1" applyAlignment="1">
      <alignment vertical="center"/>
    </xf>
    <xf numFmtId="0" fontId="114" fillId="13" borderId="0" xfId="0" applyFont="1" applyFill="1" applyAlignment="1">
      <alignment vertical="center"/>
    </xf>
    <xf numFmtId="0" fontId="114" fillId="38" borderId="0" xfId="0" applyFont="1" applyFill="1" applyAlignment="1">
      <alignment vertical="center"/>
    </xf>
    <xf numFmtId="1" fontId="114" fillId="13" borderId="0" xfId="0" applyNumberFormat="1" applyFont="1" applyFill="1" applyAlignment="1">
      <alignment vertical="center"/>
    </xf>
    <xf numFmtId="1" fontId="114" fillId="38" borderId="0" xfId="0" applyNumberFormat="1" applyFont="1" applyFill="1" applyAlignment="1">
      <alignment vertical="center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14" fillId="0" borderId="0" xfId="0" quotePrefix="1" applyFont="1" applyAlignment="1">
      <alignment vertical="center"/>
    </xf>
    <xf numFmtId="14" fontId="114" fillId="13" borderId="0" xfId="0" applyNumberFormat="1" applyFont="1" applyFill="1" applyAlignment="1">
      <alignment vertical="center"/>
    </xf>
    <xf numFmtId="16" fontId="116" fillId="13" borderId="1" xfId="3" applyNumberFormat="1" applyFont="1" applyFill="1" applyBorder="1" applyAlignment="1">
      <alignment horizontal="center" vertical="center"/>
    </xf>
    <xf numFmtId="10" fontId="112" fillId="13" borderId="66" xfId="4" applyNumberFormat="1" applyFont="1" applyFill="1" applyBorder="1" applyAlignment="1">
      <alignment horizontal="center" vertical="center"/>
    </xf>
    <xf numFmtId="42" fontId="123" fillId="0" borderId="39" xfId="2" applyNumberFormat="1" applyFont="1" applyFill="1" applyBorder="1" applyAlignment="1">
      <alignment horizontal="center" vertical="center"/>
    </xf>
    <xf numFmtId="0" fontId="126" fillId="0" borderId="0" xfId="0" applyFont="1" applyAlignment="1">
      <alignment horizontal="center" vertical="center" wrapText="1"/>
    </xf>
    <xf numFmtId="0" fontId="127" fillId="0" borderId="0" xfId="0" applyFont="1"/>
    <xf numFmtId="180" fontId="5" fillId="0" borderId="1" xfId="0" applyNumberFormat="1" applyFont="1" applyBorder="1"/>
    <xf numFmtId="180" fontId="12" fillId="34" borderId="1" xfId="0" applyNumberFormat="1" applyFont="1" applyFill="1" applyBorder="1"/>
    <xf numFmtId="180" fontId="12" fillId="13" borderId="1" xfId="0" applyNumberFormat="1" applyFont="1" applyFill="1" applyBorder="1"/>
    <xf numFmtId="14" fontId="20" fillId="0" borderId="1" xfId="0" applyNumberFormat="1" applyFont="1" applyBorder="1" applyAlignment="1">
      <alignment horizontal="center" vertical="center" wrapText="1"/>
    </xf>
    <xf numFmtId="4" fontId="20" fillId="33" borderId="1" xfId="0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left"/>
    </xf>
    <xf numFmtId="0" fontId="76" fillId="0" borderId="0" xfId="0" applyFont="1" applyAlignment="1">
      <alignment horizontal="center"/>
    </xf>
    <xf numFmtId="4" fontId="20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0" fontId="22" fillId="0" borderId="4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10" fontId="28" fillId="20" borderId="47" xfId="1" applyNumberFormat="1" applyFont="1" applyFill="1" applyBorder="1" applyAlignment="1">
      <alignment horizontal="center" vertical="center"/>
    </xf>
    <xf numFmtId="10" fontId="28" fillId="20" borderId="50" xfId="1" applyNumberFormat="1" applyFont="1" applyFill="1" applyBorder="1" applyAlignment="1">
      <alignment horizontal="center" vertical="center"/>
    </xf>
    <xf numFmtId="10" fontId="28" fillId="20" borderId="0" xfId="1" applyNumberFormat="1" applyFont="1" applyFill="1" applyBorder="1" applyAlignment="1">
      <alignment horizontal="center" vertical="center"/>
    </xf>
    <xf numFmtId="10" fontId="28" fillId="20" borderId="52" xfId="1" applyNumberFormat="1" applyFont="1" applyFill="1" applyBorder="1" applyAlignment="1">
      <alignment horizontal="center" vertical="center"/>
    </xf>
    <xf numFmtId="10" fontId="28" fillId="20" borderId="54" xfId="1" applyNumberFormat="1" applyFont="1" applyFill="1" applyBorder="1" applyAlignment="1">
      <alignment horizontal="center" vertical="center"/>
    </xf>
    <xf numFmtId="10" fontId="28" fillId="20" borderId="57" xfId="1" applyNumberFormat="1" applyFont="1" applyFill="1" applyBorder="1" applyAlignment="1">
      <alignment horizontal="center" vertical="center"/>
    </xf>
    <xf numFmtId="10" fontId="28" fillId="20" borderId="48" xfId="1" applyNumberFormat="1" applyFont="1" applyFill="1" applyBorder="1" applyAlignment="1">
      <alignment horizontal="center" vertical="center"/>
    </xf>
    <xf numFmtId="10" fontId="28" fillId="20" borderId="28" xfId="1" applyNumberFormat="1" applyFont="1" applyFill="1" applyBorder="1" applyAlignment="1">
      <alignment horizontal="center" vertical="center"/>
    </xf>
    <xf numFmtId="10" fontId="28" fillId="20" borderId="55" xfId="1" applyNumberFormat="1" applyFont="1" applyFill="1" applyBorder="1" applyAlignment="1">
      <alignment horizontal="center" vertical="center"/>
    </xf>
    <xf numFmtId="0" fontId="18" fillId="20" borderId="46" xfId="0" applyFont="1" applyFill="1" applyBorder="1" applyAlignment="1">
      <alignment horizontal="center" vertical="center" wrapText="1"/>
    </xf>
    <xf numFmtId="0" fontId="18" fillId="20" borderId="47" xfId="0" applyFont="1" applyFill="1" applyBorder="1" applyAlignment="1">
      <alignment horizontal="center" vertical="center" wrapText="1"/>
    </xf>
    <xf numFmtId="0" fontId="18" fillId="20" borderId="48" xfId="0" applyFont="1" applyFill="1" applyBorder="1" applyAlignment="1">
      <alignment horizontal="center" vertical="center" wrapText="1"/>
    </xf>
    <xf numFmtId="0" fontId="18" fillId="20" borderId="51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18" fillId="20" borderId="28" xfId="0" applyFont="1" applyFill="1" applyBorder="1" applyAlignment="1">
      <alignment horizontal="center" vertical="center" wrapText="1"/>
    </xf>
    <xf numFmtId="0" fontId="31" fillId="20" borderId="53" xfId="0" applyFont="1" applyFill="1" applyBorder="1" applyAlignment="1">
      <alignment horizontal="center" vertical="center" wrapText="1"/>
    </xf>
    <xf numFmtId="0" fontId="31" fillId="20" borderId="54" xfId="0" applyFont="1" applyFill="1" applyBorder="1" applyAlignment="1">
      <alignment horizontal="center" vertical="center" wrapText="1"/>
    </xf>
    <xf numFmtId="0" fontId="31" fillId="20" borderId="5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49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96" fillId="20" borderId="60" xfId="0" applyFont="1" applyFill="1" applyBorder="1" applyAlignment="1">
      <alignment horizontal="center" vertical="center"/>
    </xf>
    <xf numFmtId="0" fontId="96" fillId="20" borderId="61" xfId="0" applyFont="1" applyFill="1" applyBorder="1" applyAlignment="1">
      <alignment horizontal="center" vertical="center"/>
    </xf>
    <xf numFmtId="0" fontId="96" fillId="20" borderId="62" xfId="0" applyFont="1" applyFill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/>
    </xf>
    <xf numFmtId="3" fontId="17" fillId="0" borderId="6" xfId="0" applyNumberFormat="1" applyFont="1" applyBorder="1" applyAlignment="1">
      <alignment horizontal="center"/>
    </xf>
    <xf numFmtId="0" fontId="19" fillId="20" borderId="1" xfId="0" applyFont="1" applyFill="1" applyBorder="1" applyAlignment="1">
      <alignment horizontal="left"/>
    </xf>
    <xf numFmtId="0" fontId="84" fillId="38" borderId="63" xfId="0" applyFont="1" applyFill="1" applyBorder="1" applyAlignment="1">
      <alignment horizontal="center" vertical="center"/>
    </xf>
    <xf numFmtId="0" fontId="84" fillId="38" borderId="64" xfId="0" applyFont="1" applyFill="1" applyBorder="1" applyAlignment="1">
      <alignment horizontal="center" vertical="center"/>
    </xf>
    <xf numFmtId="0" fontId="84" fillId="38" borderId="65" xfId="0" applyFont="1" applyFill="1" applyBorder="1" applyAlignment="1">
      <alignment horizontal="center" vertical="center"/>
    </xf>
    <xf numFmtId="164" fontId="15" fillId="9" borderId="5" xfId="0" applyNumberFormat="1" applyFont="1" applyFill="1" applyBorder="1" applyAlignment="1" applyProtection="1">
      <alignment horizontal="center" vertical="center"/>
      <protection locked="0"/>
    </xf>
    <xf numFmtId="164" fontId="15" fillId="9" borderId="6" xfId="0" applyNumberFormat="1" applyFont="1" applyFill="1" applyBorder="1" applyAlignment="1" applyProtection="1">
      <alignment horizontal="center" vertical="center"/>
      <protection locked="0"/>
    </xf>
    <xf numFmtId="0" fontId="18" fillId="20" borderId="5" xfId="0" applyFont="1" applyFill="1" applyBorder="1" applyAlignment="1">
      <alignment horizontal="left" vertical="center" wrapText="1"/>
    </xf>
    <xf numFmtId="0" fontId="18" fillId="20" borderId="6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8" fillId="20" borderId="30" xfId="0" applyFont="1" applyFill="1" applyBorder="1" applyAlignment="1">
      <alignment horizontal="left" vertical="center" wrapText="1"/>
    </xf>
    <xf numFmtId="0" fontId="18" fillId="20" borderId="31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4" fillId="0" borderId="10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7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28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24" fillId="0" borderId="0" xfId="0" applyFont="1" applyAlignment="1">
      <alignment horizontal="center" wrapText="1"/>
    </xf>
    <xf numFmtId="0" fontId="73" fillId="9" borderId="0" xfId="0" applyFont="1" applyFill="1" applyAlignment="1">
      <alignment horizontal="center"/>
    </xf>
    <xf numFmtId="0" fontId="27" fillId="20" borderId="27" xfId="0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 wrapText="1"/>
    </xf>
    <xf numFmtId="10" fontId="28" fillId="20" borderId="9" xfId="1" applyNumberFormat="1" applyFont="1" applyFill="1" applyBorder="1" applyAlignment="1">
      <alignment horizontal="center" vertical="center"/>
    </xf>
    <xf numFmtId="10" fontId="28" fillId="20" borderId="8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9" fillId="20" borderId="11" xfId="0" applyFont="1" applyFill="1" applyBorder="1" applyAlignment="1">
      <alignment horizontal="left" vertical="center"/>
    </xf>
    <xf numFmtId="0" fontId="29" fillId="20" borderId="25" xfId="0" applyFont="1" applyFill="1" applyBorder="1" applyAlignment="1">
      <alignment horizontal="left" vertical="center"/>
    </xf>
    <xf numFmtId="167" fontId="29" fillId="20" borderId="19" xfId="0" applyNumberFormat="1" applyFont="1" applyFill="1" applyBorder="1" applyAlignment="1">
      <alignment horizontal="center" vertical="center"/>
    </xf>
    <xf numFmtId="167" fontId="29" fillId="20" borderId="20" xfId="0" applyNumberFormat="1" applyFont="1" applyFill="1" applyBorder="1" applyAlignment="1">
      <alignment horizontal="center" vertical="center"/>
    </xf>
    <xf numFmtId="167" fontId="18" fillId="20" borderId="32" xfId="0" applyNumberFormat="1" applyFont="1" applyFill="1" applyBorder="1" applyAlignment="1">
      <alignment horizontal="center" vertical="center"/>
    </xf>
    <xf numFmtId="167" fontId="18" fillId="20" borderId="33" xfId="0" applyNumberFormat="1" applyFont="1" applyFill="1" applyBorder="1" applyAlignment="1">
      <alignment horizontal="center" vertical="center"/>
    </xf>
    <xf numFmtId="0" fontId="18" fillId="20" borderId="7" xfId="0" applyFont="1" applyFill="1" applyBorder="1" applyAlignment="1">
      <alignment horizontal="center" vertical="center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2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center"/>
    </xf>
    <xf numFmtId="174" fontId="32" fillId="0" borderId="0" xfId="0" applyNumberFormat="1" applyFont="1" applyAlignment="1">
      <alignment horizontal="left"/>
    </xf>
    <xf numFmtId="0" fontId="32" fillId="0" borderId="41" xfId="0" applyFont="1" applyBorder="1" applyAlignment="1">
      <alignment horizontal="center" vertical="center" wrapText="1"/>
    </xf>
    <xf numFmtId="167" fontId="77" fillId="0" borderId="44" xfId="0" applyNumberFormat="1" applyFont="1" applyBorder="1" applyAlignment="1">
      <alignment horizontal="center" vertical="center"/>
    </xf>
    <xf numFmtId="167" fontId="14" fillId="0" borderId="19" xfId="0" applyNumberFormat="1" applyFont="1" applyBorder="1" applyAlignment="1">
      <alignment horizontal="center" vertical="center"/>
    </xf>
    <xf numFmtId="167" fontId="14" fillId="0" borderId="20" xfId="0" applyNumberFormat="1" applyFont="1" applyBorder="1" applyAlignment="1">
      <alignment horizontal="center" vertical="center"/>
    </xf>
    <xf numFmtId="10" fontId="20" fillId="0" borderId="5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0" fontId="34" fillId="0" borderId="9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/>
      <protection locked="0"/>
    </xf>
    <xf numFmtId="0" fontId="16" fillId="9" borderId="6" xfId="0" applyFont="1" applyFill="1" applyBorder="1" applyAlignment="1" applyProtection="1">
      <alignment horizontal="center" vertical="center"/>
      <protection locked="0"/>
    </xf>
    <xf numFmtId="0" fontId="16" fillId="20" borderId="5" xfId="0" applyFont="1" applyFill="1" applyBorder="1" applyAlignment="1">
      <alignment horizontal="left" vertical="center" wrapText="1"/>
    </xf>
    <xf numFmtId="0" fontId="16" fillId="20" borderId="6" xfId="0" applyFont="1" applyFill="1" applyBorder="1" applyAlignment="1">
      <alignment horizontal="left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6" xfId="0" applyFont="1" applyFill="1" applyBorder="1" applyAlignment="1">
      <alignment horizontal="center" vertical="center" wrapText="1"/>
    </xf>
    <xf numFmtId="167" fontId="14" fillId="0" borderId="16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32" fillId="0" borderId="42" xfId="0" applyFont="1" applyBorder="1" applyAlignment="1">
      <alignment horizontal="center" vertical="center" wrapText="1"/>
    </xf>
    <xf numFmtId="10" fontId="77" fillId="0" borderId="44" xfId="1" applyNumberFormat="1" applyFont="1" applyBorder="1" applyAlignment="1">
      <alignment horizontal="center" vertical="center"/>
    </xf>
    <xf numFmtId="10" fontId="77" fillId="0" borderId="45" xfId="1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3" fillId="35" borderId="1" xfId="0" applyFont="1" applyFill="1" applyBorder="1" applyAlignment="1">
      <alignment horizontal="center" vertical="center" wrapText="1"/>
    </xf>
    <xf numFmtId="0" fontId="7" fillId="23" borderId="27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10" fontId="12" fillId="13" borderId="1" xfId="0" applyNumberFormat="1" applyFont="1" applyFill="1" applyBorder="1" applyAlignment="1">
      <alignment horizontal="center" vertical="center"/>
    </xf>
    <xf numFmtId="10" fontId="12" fillId="34" borderId="35" xfId="0" applyNumberFormat="1" applyFont="1" applyFill="1" applyBorder="1" applyAlignment="1">
      <alignment horizontal="center" vertical="center"/>
    </xf>
    <xf numFmtId="10" fontId="12" fillId="34" borderId="34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9" fillId="19" borderId="23" xfId="0" applyFont="1" applyFill="1" applyBorder="1" applyAlignment="1">
      <alignment horizontal="center"/>
    </xf>
    <xf numFmtId="0" fontId="9" fillId="19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4" fillId="30" borderId="0" xfId="0" applyFont="1" applyFill="1" applyAlignment="1">
      <alignment horizontal="center"/>
    </xf>
    <xf numFmtId="0" fontId="22" fillId="34" borderId="1" xfId="0" applyFont="1" applyFill="1" applyBorder="1" applyAlignment="1">
      <alignment horizontal="center"/>
    </xf>
    <xf numFmtId="0" fontId="4" fillId="25" borderId="5" xfId="0" applyFont="1" applyFill="1" applyBorder="1" applyAlignment="1">
      <alignment horizontal="left"/>
    </xf>
    <xf numFmtId="0" fontId="4" fillId="25" borderId="23" xfId="0" applyFont="1" applyFill="1" applyBorder="1" applyAlignment="1">
      <alignment horizontal="left"/>
    </xf>
    <xf numFmtId="0" fontId="4" fillId="25" borderId="6" xfId="0" applyFont="1" applyFill="1" applyBorder="1" applyAlignment="1">
      <alignment horizontal="left"/>
    </xf>
    <xf numFmtId="0" fontId="4" fillId="25" borderId="1" xfId="0" applyFont="1" applyFill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7" fillId="15" borderId="23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37" borderId="35" xfId="0" applyFont="1" applyFill="1" applyBorder="1" applyAlignment="1">
      <alignment horizontal="center" vertical="center" wrapText="1"/>
    </xf>
    <xf numFmtId="0" fontId="4" fillId="37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7" borderId="6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10" fillId="13" borderId="1" xfId="0" applyFont="1" applyFill="1" applyBorder="1" applyAlignment="1">
      <alignment horizontal="center" vertical="center"/>
    </xf>
    <xf numFmtId="0" fontId="46" fillId="0" borderId="1" xfId="3" applyFont="1" applyBorder="1" applyAlignment="1">
      <alignment horizontal="left" vertical="center" wrapText="1"/>
    </xf>
    <xf numFmtId="178" fontId="45" fillId="0" borderId="1" xfId="3" applyNumberFormat="1" applyFont="1" applyBorder="1" applyAlignment="1">
      <alignment horizontal="center" vertical="center"/>
    </xf>
    <xf numFmtId="0" fontId="121" fillId="20" borderId="0" xfId="3" applyFont="1" applyFill="1" applyAlignment="1">
      <alignment horizontal="center" vertical="center"/>
    </xf>
    <xf numFmtId="0" fontId="23" fillId="22" borderId="1" xfId="3" applyFont="1" applyFill="1" applyBorder="1" applyAlignment="1">
      <alignment horizontal="center" vertical="center" wrapText="1"/>
    </xf>
    <xf numFmtId="0" fontId="23" fillId="3" borderId="34" xfId="3" applyFont="1" applyFill="1" applyBorder="1" applyAlignment="1">
      <alignment horizontal="center"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117" fillId="13" borderId="1" xfId="3" applyFont="1" applyFill="1" applyBorder="1" applyAlignment="1">
      <alignment horizontal="center" vertical="center" wrapText="1"/>
    </xf>
    <xf numFmtId="0" fontId="118" fillId="13" borderId="1" xfId="3" applyFont="1" applyFill="1" applyBorder="1" applyAlignment="1">
      <alignment horizontal="center" vertical="center" wrapText="1"/>
    </xf>
    <xf numFmtId="0" fontId="119" fillId="13" borderId="27" xfId="3" applyFont="1" applyFill="1" applyBorder="1" applyAlignment="1">
      <alignment horizontal="center" vertical="center" wrapText="1"/>
    </xf>
    <xf numFmtId="0" fontId="119" fillId="13" borderId="0" xfId="3" applyFont="1" applyFill="1" applyAlignment="1">
      <alignment horizontal="center" vertical="center" wrapText="1"/>
    </xf>
    <xf numFmtId="0" fontId="125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122" fillId="13" borderId="67" xfId="0" applyFont="1" applyFill="1" applyBorder="1" applyAlignment="1">
      <alignment horizontal="center" vertical="center"/>
    </xf>
    <xf numFmtId="0" fontId="122" fillId="13" borderId="68" xfId="0" applyFont="1" applyFill="1" applyBorder="1" applyAlignment="1">
      <alignment horizontal="center" vertical="center"/>
    </xf>
    <xf numFmtId="0" fontId="122" fillId="13" borderId="69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83" fillId="38" borderId="0" xfId="0" applyFont="1" applyFill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53" fillId="25" borderId="35" xfId="0" applyFont="1" applyFill="1" applyBorder="1" applyAlignment="1">
      <alignment horizontal="left" vertical="center" wrapText="1"/>
    </xf>
    <xf numFmtId="0" fontId="53" fillId="25" borderId="24" xfId="0" applyFont="1" applyFill="1" applyBorder="1" applyAlignment="1">
      <alignment horizontal="left" vertical="center" wrapText="1"/>
    </xf>
    <xf numFmtId="0" fontId="53" fillId="25" borderId="34" xfId="0" applyFont="1" applyFill="1" applyBorder="1" applyAlignment="1">
      <alignment horizontal="left" vertical="center" wrapText="1"/>
    </xf>
    <xf numFmtId="0" fontId="82" fillId="38" borderId="7" xfId="0" applyFont="1" applyFill="1" applyBorder="1" applyAlignment="1">
      <alignment horizontal="center" vertical="center"/>
    </xf>
    <xf numFmtId="0" fontId="82" fillId="38" borderId="9" xfId="0" applyFont="1" applyFill="1" applyBorder="1" applyAlignment="1">
      <alignment horizontal="center" vertical="center"/>
    </xf>
    <xf numFmtId="0" fontId="82" fillId="38" borderId="2" xfId="0" applyFont="1" applyFill="1" applyBorder="1" applyAlignment="1">
      <alignment horizontal="center" vertical="center"/>
    </xf>
    <xf numFmtId="0" fontId="82" fillId="38" borderId="3" xfId="0" applyFont="1" applyFill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0" fontId="104" fillId="0" borderId="0" xfId="0" applyFont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79" fillId="0" borderId="0" xfId="0" applyFont="1" applyAlignment="1">
      <alignment horizontal="left" wrapText="1"/>
    </xf>
    <xf numFmtId="0" fontId="80" fillId="0" borderId="0" xfId="0" applyFont="1" applyAlignment="1">
      <alignment horizontal="center"/>
    </xf>
    <xf numFmtId="0" fontId="4" fillId="0" borderId="7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08" fillId="20" borderId="0" xfId="0" applyFont="1" applyFill="1" applyAlignment="1">
      <alignment horizontal="center" vertical="center"/>
    </xf>
    <xf numFmtId="0" fontId="31" fillId="20" borderId="27" xfId="0" applyFont="1" applyFill="1" applyBorder="1" applyAlignment="1">
      <alignment horizontal="center" vertical="center" wrapText="1"/>
    </xf>
    <xf numFmtId="0" fontId="31" fillId="20" borderId="0" xfId="0" applyFont="1" applyFill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/>
    </xf>
    <xf numFmtId="49" fontId="105" fillId="20" borderId="3" xfId="0" applyNumberFormat="1" applyFont="1" applyFill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</cellXfs>
  <cellStyles count="6">
    <cellStyle name="Currency" xfId="2" builtinId="4"/>
    <cellStyle name="Good" xfId="4" builtinId="26"/>
    <cellStyle name="Hyperlink" xfId="5" builtinId="8"/>
    <cellStyle name="Normal" xfId="0" builtinId="0"/>
    <cellStyle name="Normal 2" xfId="3" xr:uid="{49598A55-A7DC-475E-8FE1-BEBE24FB8D38}"/>
    <cellStyle name="Percent" xfId="1" builtinId="5"/>
  </cellStyles>
  <dxfs count="12"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66FF"/>
      <color rgb="FF20A5CE"/>
      <color rgb="FF03D321"/>
      <color rgb="FFFF3300"/>
      <color rgb="FFCC66FF"/>
      <color rgb="FFF5D7D7"/>
      <color rgb="FF05FB28"/>
      <color rgb="FFFFCC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3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32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9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11</xdr:col>
      <xdr:colOff>1313464</xdr:colOff>
      <xdr:row>67</xdr:row>
      <xdr:rowOff>322238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85" y="7683500"/>
          <a:ext cx="7079615" cy="28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9218" y="245745"/>
          <a:ext cx="1712806" cy="91693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128</xdr:row>
      <xdr:rowOff>169334</xdr:rowOff>
    </xdr:from>
    <xdr:to>
      <xdr:col>13</xdr:col>
      <xdr:colOff>364913</xdr:colOff>
      <xdr:row>199</xdr:row>
      <xdr:rowOff>172071</xdr:rowOff>
    </xdr:to>
    <xdr:pic>
      <xdr:nvPicPr>
        <xdr:cNvPr id="5" name="Picture 4" descr="A close up of a document&#10;&#10;Description automatically generated">
          <a:extLst>
            <a:ext uri="{FF2B5EF4-FFF2-40B4-BE49-F238E27FC236}">
              <a16:creationId xmlns:a16="http://schemas.microsoft.com/office/drawing/2014/main" id="{C2899326-2B51-13FE-E457-FFF2AEDD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8800" y="25298401"/>
          <a:ext cx="8500533" cy="13754298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0</xdr:rowOff>
    </xdr:from>
    <xdr:to>
      <xdr:col>9</xdr:col>
      <xdr:colOff>361816</xdr:colOff>
      <xdr:row>4</xdr:row>
      <xdr:rowOff>208854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090F26F-88EA-4ECD-39CA-3F50DCA2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7725" y="0"/>
          <a:ext cx="2428741" cy="12851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37051</xdr:colOff>
      <xdr:row>0</xdr:row>
      <xdr:rowOff>245745</xdr:rowOff>
    </xdr:from>
    <xdr:to>
      <xdr:col>6</xdr:col>
      <xdr:colOff>402811</xdr:colOff>
      <xdr:row>4</xdr:row>
      <xdr:rowOff>93764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72940-C143-42E7-96F7-9EBA23A5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1206500</xdr:colOff>
      <xdr:row>0</xdr:row>
      <xdr:rowOff>63500</xdr:rowOff>
    </xdr:from>
    <xdr:to>
      <xdr:col>13</xdr:col>
      <xdr:colOff>1349876</xdr:colOff>
      <xdr:row>5</xdr:row>
      <xdr:rowOff>20047</xdr:rowOff>
    </xdr:to>
    <xdr:pic>
      <xdr:nvPicPr>
        <xdr:cNvPr id="4" name="Imagem 13">
          <a:extLst>
            <a:ext uri="{FF2B5EF4-FFF2-40B4-BE49-F238E27FC236}">
              <a16:creationId xmlns:a16="http://schemas.microsoft.com/office/drawing/2014/main" id="{8A71CE4A-01D5-44AE-8075-081CE1FF5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500" y="63500"/>
          <a:ext cx="2362066" cy="12756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D258B-C62D-43FC-8E3E-9C87613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20475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E9E86-0743-40FE-B62A-16F1BF2E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128</xdr:row>
      <xdr:rowOff>169334</xdr:rowOff>
    </xdr:from>
    <xdr:to>
      <xdr:col>13</xdr:col>
      <xdr:colOff>513503</xdr:colOff>
      <xdr:row>199</xdr:row>
      <xdr:rowOff>172071</xdr:rowOff>
    </xdr:to>
    <xdr:pic>
      <xdr:nvPicPr>
        <xdr:cNvPr id="4" name="Picture 3" descr="A close up of a document&#10;&#10;Description automatically generated">
          <a:extLst>
            <a:ext uri="{FF2B5EF4-FFF2-40B4-BE49-F238E27FC236}">
              <a16:creationId xmlns:a16="http://schemas.microsoft.com/office/drawing/2014/main" id="{5BA3C646-8C94-452E-8893-6F8D02EB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9425" y="24915284"/>
          <a:ext cx="8247803" cy="14033062"/>
        </a:xfrm>
        <a:prstGeom prst="rect">
          <a:avLst/>
        </a:prstGeom>
      </xdr:spPr>
    </xdr:pic>
    <xdr:clientData/>
  </xdr:twoCellAnchor>
  <xdr:twoCellAnchor editAs="oneCell">
    <xdr:from>
      <xdr:col>6</xdr:col>
      <xdr:colOff>1185333</xdr:colOff>
      <xdr:row>0</xdr:row>
      <xdr:rowOff>21167</xdr:rowOff>
    </xdr:from>
    <xdr:to>
      <xdr:col>9</xdr:col>
      <xdr:colOff>33732</xdr:colOff>
      <xdr:row>4</xdr:row>
      <xdr:rowOff>238488</xdr:rowOff>
    </xdr:to>
    <xdr:pic>
      <xdr:nvPicPr>
        <xdr:cNvPr id="5" name="Imagem 13">
          <a:extLst>
            <a:ext uri="{FF2B5EF4-FFF2-40B4-BE49-F238E27FC236}">
              <a16:creationId xmlns:a16="http://schemas.microsoft.com/office/drawing/2014/main" id="{56CDA45A-6800-4C79-9C6D-09007048F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8083" y="21167"/>
          <a:ext cx="2362066" cy="12756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</xdr:row>
      <xdr:rowOff>171450</xdr:rowOff>
    </xdr:from>
    <xdr:to>
      <xdr:col>11</xdr:col>
      <xdr:colOff>552450</xdr:colOff>
      <xdr:row>13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C978E2-12C2-1DA5-0771-7BF34F583D8C}"/>
            </a:ext>
          </a:extLst>
        </xdr:cNvPr>
        <xdr:cNvSpPr txBox="1"/>
      </xdr:nvSpPr>
      <xdr:spPr>
        <a:xfrm>
          <a:off x="228600" y="552450"/>
          <a:ext cx="7029450" cy="2028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TO_CHAR(ctd.dsess_data, 'DD-MM-YYYY') Data, (REPLACE(cct.loj_codigo,'C','')*1) Balcao, ctd.cli_codigo, ctd.cctit_codigo, cct.descricao_detalhada, ctd.tit_codigo Codigo, tit.symbol Mnemonica, ctd.quantidade, ctd.quantidade_disponivel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conservadoria_total_data ctd, clientes_contas_titulos cct, titulos tit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dsess_data = to_date(20240604, 'yyyymmdd')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ctd.cctit_codigo = cct.cctit_codigo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ctd.tit_codigo = tit.tit_codigo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quantidade &gt; 0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'BSINB'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244780</xdr:colOff>
      <xdr:row>6</xdr:row>
      <xdr:rowOff>16192</xdr:rowOff>
    </xdr:from>
    <xdr:to>
      <xdr:col>3</xdr:col>
      <xdr:colOff>594348</xdr:colOff>
      <xdr:row>28</xdr:row>
      <xdr:rowOff>20003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83468" y="1218723"/>
          <a:ext cx="349568" cy="3670936"/>
        </a:xfrm>
        <a:prstGeom prst="rightBrace">
          <a:avLst>
            <a:gd name="adj1" fmla="val 8333"/>
            <a:gd name="adj2" fmla="val 4740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113825</xdr:colOff>
      <xdr:row>0</xdr:row>
      <xdr:rowOff>199865</xdr:rowOff>
    </xdr:from>
    <xdr:to>
      <xdr:col>2</xdr:col>
      <xdr:colOff>535641</xdr:colOff>
      <xdr:row>0</xdr:row>
      <xdr:rowOff>972026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8" y="199865"/>
          <a:ext cx="1421941" cy="76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222250</xdr:colOff>
      <xdr:row>1</xdr:row>
      <xdr:rowOff>247650</xdr:rowOff>
    </xdr:from>
    <xdr:to>
      <xdr:col>2</xdr:col>
      <xdr:colOff>77471</xdr:colOff>
      <xdr:row>3</xdr:row>
      <xdr:rowOff>509017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49BE1-07D0-4977-9868-A8596E7D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" y="438150"/>
          <a:ext cx="3277871" cy="8011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3</xdr:row>
      <xdr:rowOff>304800</xdr:rowOff>
    </xdr:to>
    <xdr:sp macro="" textlink="">
      <xdr:nvSpPr>
        <xdr:cNvPr id="4098" name="AutoShape 2">
          <a:extLst>
            <a:ext uri="{FF2B5EF4-FFF2-40B4-BE49-F238E27FC236}">
              <a16:creationId xmlns:a16="http://schemas.microsoft.com/office/drawing/2014/main" id="{A833CFC7-3F70-054B-188B-826B022F8823}"/>
            </a:ext>
          </a:extLst>
        </xdr:cNvPr>
        <xdr:cNvSpPr>
          <a:spLocks noChangeAspect="1" noChangeArrowheads="1"/>
        </xdr:cNvSpPr>
      </xdr:nvSpPr>
      <xdr:spPr bwMode="auto">
        <a:xfrm>
          <a:off x="8982075" y="7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1581150</xdr:colOff>
      <xdr:row>36</xdr:row>
      <xdr:rowOff>81915</xdr:rowOff>
    </xdr:from>
    <xdr:to>
      <xdr:col>11</xdr:col>
      <xdr:colOff>2474595</xdr:colOff>
      <xdr:row>36</xdr:row>
      <xdr:rowOff>479429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4217015"/>
          <a:ext cx="893445" cy="393704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34</xdr:row>
      <xdr:rowOff>457216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4895" y="14540865"/>
          <a:ext cx="1062317" cy="203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1304613</xdr:colOff>
      <xdr:row>28</xdr:row>
      <xdr:rowOff>211455</xdr:rowOff>
    </xdr:from>
    <xdr:to>
      <xdr:col>11</xdr:col>
      <xdr:colOff>1847538</xdr:colOff>
      <xdr:row>28</xdr:row>
      <xdr:rowOff>550793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513" y="15651480"/>
          <a:ext cx="542925" cy="339338"/>
        </a:xfrm>
        <a:prstGeom prst="rect">
          <a:avLst/>
        </a:prstGeom>
      </xdr:spPr>
    </xdr:pic>
    <xdr:clientData/>
  </xdr:twoCellAnchor>
  <xdr:twoCellAnchor>
    <xdr:from>
      <xdr:col>2</xdr:col>
      <xdr:colOff>97153</xdr:colOff>
      <xdr:row>5</xdr:row>
      <xdr:rowOff>53340</xdr:rowOff>
    </xdr:from>
    <xdr:to>
      <xdr:col>5</xdr:col>
      <xdr:colOff>1386840</xdr:colOff>
      <xdr:row>6</xdr:row>
      <xdr:rowOff>409575</xdr:rowOff>
    </xdr:to>
    <xdr:sp macro="" textlink="">
      <xdr:nvSpPr>
        <xdr:cNvPr id="85" name="Arrow: Bent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 rot="10800000">
          <a:off x="3078478" y="51968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93343</xdr:colOff>
      <xdr:row>9</xdr:row>
      <xdr:rowOff>74295</xdr:rowOff>
    </xdr:from>
    <xdr:to>
      <xdr:col>5</xdr:col>
      <xdr:colOff>1390650</xdr:colOff>
      <xdr:row>10</xdr:row>
      <xdr:rowOff>405765</xdr:rowOff>
    </xdr:to>
    <xdr:sp macro="" textlink="">
      <xdr:nvSpPr>
        <xdr:cNvPr id="86" name="Arrow: Bent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3074668" y="7294245"/>
          <a:ext cx="2945132" cy="645795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97153</xdr:colOff>
      <xdr:row>31</xdr:row>
      <xdr:rowOff>81915</xdr:rowOff>
    </xdr:from>
    <xdr:to>
      <xdr:col>5</xdr:col>
      <xdr:colOff>1386840</xdr:colOff>
      <xdr:row>32</xdr:row>
      <xdr:rowOff>361950</xdr:rowOff>
    </xdr:to>
    <xdr:sp macro="" textlink="">
      <xdr:nvSpPr>
        <xdr:cNvPr id="88" name="Arrow: Bent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 rot="10800000">
          <a:off x="3078478" y="154076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1581150</xdr:colOff>
      <xdr:row>36</xdr:row>
      <xdr:rowOff>81915</xdr:rowOff>
    </xdr:from>
    <xdr:to>
      <xdr:col>11</xdr:col>
      <xdr:colOff>2478405</xdr:colOff>
      <xdr:row>36</xdr:row>
      <xdr:rowOff>473714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590" y="14314170"/>
          <a:ext cx="897255" cy="3917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35</xdr:row>
      <xdr:rowOff>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705" y="13698855"/>
          <a:ext cx="1066127" cy="2076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39</xdr:row>
      <xdr:rowOff>53340</xdr:rowOff>
    </xdr:from>
    <xdr:to>
      <xdr:col>5</xdr:col>
      <xdr:colOff>666669</xdr:colOff>
      <xdr:row>39</xdr:row>
      <xdr:rowOff>784225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" y="15430500"/>
          <a:ext cx="5282484" cy="730885"/>
        </a:xfrm>
        <a:prstGeom prst="rect">
          <a:avLst/>
        </a:prstGeom>
        <a:ln w="19050">
          <a:solidFill>
            <a:schemeClr val="accent6"/>
          </a:solidFill>
        </a:ln>
      </xdr:spPr>
    </xdr:pic>
    <xdr:clientData/>
  </xdr:twoCellAnchor>
  <xdr:twoCellAnchor editAs="oneCell">
    <xdr:from>
      <xdr:col>9</xdr:col>
      <xdr:colOff>1018298</xdr:colOff>
      <xdr:row>39</xdr:row>
      <xdr:rowOff>57150</xdr:rowOff>
    </xdr:from>
    <xdr:to>
      <xdr:col>12</xdr:col>
      <xdr:colOff>1001</xdr:colOff>
      <xdr:row>39</xdr:row>
      <xdr:rowOff>781050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7486" y="17718088"/>
          <a:ext cx="5343844" cy="720090"/>
        </a:xfrm>
        <a:prstGeom prst="rect">
          <a:avLst/>
        </a:prstGeom>
        <a:ln w="15875">
          <a:solidFill>
            <a:schemeClr val="accent2"/>
          </a:solidFill>
        </a:ln>
      </xdr:spPr>
    </xdr:pic>
    <xdr:clientData/>
  </xdr:twoCellAnchor>
  <xdr:twoCellAnchor>
    <xdr:from>
      <xdr:col>1</xdr:col>
      <xdr:colOff>1163004</xdr:colOff>
      <xdr:row>20</xdr:row>
      <xdr:rowOff>243841</xdr:rowOff>
    </xdr:from>
    <xdr:to>
      <xdr:col>4</xdr:col>
      <xdr:colOff>111125</xdr:colOff>
      <xdr:row>21</xdr:row>
      <xdr:rowOff>246063</xdr:rowOff>
    </xdr:to>
    <xdr:sp macro="" textlink="">
      <xdr:nvSpPr>
        <xdr:cNvPr id="16" name="Arrow: Ben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5400000" flipV="1">
          <a:off x="2648110" y="9736298"/>
          <a:ext cx="565784" cy="2710496"/>
        </a:xfrm>
        <a:prstGeom prst="bentArrow">
          <a:avLst>
            <a:gd name="adj1" fmla="val 15389"/>
            <a:gd name="adj2" fmla="val 19506"/>
            <a:gd name="adj3" fmla="val 25000"/>
            <a:gd name="adj4" fmla="val 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1166814</xdr:colOff>
      <xdr:row>15</xdr:row>
      <xdr:rowOff>120968</xdr:rowOff>
    </xdr:from>
    <xdr:to>
      <xdr:col>1</xdr:col>
      <xdr:colOff>1394778</xdr:colOff>
      <xdr:row>21</xdr:row>
      <xdr:rowOff>228292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579564" y="9328468"/>
          <a:ext cx="227964" cy="3464887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89063</xdr:colOff>
      <xdr:row>38</xdr:row>
      <xdr:rowOff>159557</xdr:rowOff>
    </xdr:from>
    <xdr:to>
      <xdr:col>10</xdr:col>
      <xdr:colOff>39690</xdr:colOff>
      <xdr:row>38</xdr:row>
      <xdr:rowOff>400856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16200000">
          <a:off x="7496258" y="12834237"/>
          <a:ext cx="241299" cy="9086690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79373</xdr:colOff>
      <xdr:row>25</xdr:row>
      <xdr:rowOff>71436</xdr:rowOff>
    </xdr:from>
    <xdr:to>
      <xdr:col>5</xdr:col>
      <xdr:colOff>1372870</xdr:colOff>
      <xdr:row>26</xdr:row>
      <xdr:rowOff>321308</xdr:rowOff>
    </xdr:to>
    <xdr:sp macro="" textlink="">
      <xdr:nvSpPr>
        <xdr:cNvPr id="4" name="Arrow: Ben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3063873" y="15509874"/>
          <a:ext cx="2944497" cy="551497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381001</xdr:colOff>
      <xdr:row>3</xdr:row>
      <xdr:rowOff>142876</xdr:rowOff>
    </xdr:from>
    <xdr:to>
      <xdr:col>11</xdr:col>
      <xdr:colOff>1728821</xdr:colOff>
      <xdr:row>12</xdr:row>
      <xdr:rowOff>1028701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346B71-37AE-249F-5E7B-38F50EAC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82001" y="1104901"/>
          <a:ext cx="5119720" cy="5524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2</xdr:col>
      <xdr:colOff>6153684</xdr:colOff>
      <xdr:row>40</xdr:row>
      <xdr:rowOff>1974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9801225"/>
          <a:ext cx="6157494" cy="7925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6172735</xdr:colOff>
      <xdr:row>44</xdr:row>
      <xdr:rowOff>55318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10982325"/>
          <a:ext cx="6172735" cy="838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43</xdr:row>
      <xdr:rowOff>285750</xdr:rowOff>
    </xdr:from>
    <xdr:to>
      <xdr:col>2</xdr:col>
      <xdr:colOff>2190819</xdr:colOff>
      <xdr:row>45</xdr:row>
      <xdr:rowOff>9554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1725" y="11696700"/>
          <a:ext cx="800169" cy="342929"/>
        </a:xfrm>
        <a:prstGeom prst="rect">
          <a:avLst/>
        </a:prstGeom>
      </xdr:spPr>
    </xdr:pic>
    <xdr:clientData/>
  </xdr:twoCellAnchor>
  <xdr:twoCellAnchor editAs="oneCell">
    <xdr:from>
      <xdr:col>2</xdr:col>
      <xdr:colOff>2910840</xdr:colOff>
      <xdr:row>45</xdr:row>
      <xdr:rowOff>55245</xdr:rowOff>
    </xdr:from>
    <xdr:to>
      <xdr:col>2</xdr:col>
      <xdr:colOff>3982682</xdr:colOff>
      <xdr:row>46</xdr:row>
      <xdr:rowOff>15256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0490" y="12218670"/>
          <a:ext cx="1060412" cy="1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48</xdr:row>
      <xdr:rowOff>20955</xdr:rowOff>
    </xdr:from>
    <xdr:to>
      <xdr:col>2</xdr:col>
      <xdr:colOff>838987</xdr:colOff>
      <xdr:row>49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090" y="13070205"/>
          <a:ext cx="366547" cy="245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272144</xdr:colOff>
      <xdr:row>45</xdr:row>
      <xdr:rowOff>78834</xdr:rowOff>
    </xdr:from>
    <xdr:to>
      <xdr:col>13</xdr:col>
      <xdr:colOff>346982</xdr:colOff>
      <xdr:row>68</xdr:row>
      <xdr:rowOff>9246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EF52B10-D136-818F-5159-8B48C687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465" y="10141316"/>
          <a:ext cx="7422696" cy="4311912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176892</xdr:colOff>
      <xdr:row>22</xdr:row>
      <xdr:rowOff>129267</xdr:rowOff>
    </xdr:from>
    <xdr:to>
      <xdr:col>13</xdr:col>
      <xdr:colOff>462422</xdr:colOff>
      <xdr:row>30</xdr:row>
      <xdr:rowOff>20411</xdr:rowOff>
    </xdr:to>
    <xdr:pic>
      <xdr:nvPicPr>
        <xdr:cNvPr id="9" name="Imagem 1" descr="Uma imagem com texto, captura de ecrã&#10;&#10;Descrição gerada automaticamente">
          <a:extLst>
            <a:ext uri="{FF2B5EF4-FFF2-40B4-BE49-F238E27FC236}">
              <a16:creationId xmlns:a16="http://schemas.microsoft.com/office/drawing/2014/main" id="{41D1439E-090C-C3E6-7FDF-DA1777F17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027" y="4730575"/>
          <a:ext cx="7583145" cy="1825451"/>
        </a:xfrm>
        <a:prstGeom prst="rect">
          <a:avLst/>
        </a:prstGeom>
      </xdr:spPr>
    </xdr:pic>
    <xdr:clientData/>
  </xdr:twoCellAnchor>
  <xdr:twoCellAnchor editAs="oneCell">
    <xdr:from>
      <xdr:col>1</xdr:col>
      <xdr:colOff>335550</xdr:colOff>
      <xdr:row>197</xdr:row>
      <xdr:rowOff>55245</xdr:rowOff>
    </xdr:from>
    <xdr:to>
      <xdr:col>13</xdr:col>
      <xdr:colOff>276495</xdr:colOff>
      <xdr:row>224</xdr:row>
      <xdr:rowOff>73559</xdr:rowOff>
    </xdr:to>
    <xdr:pic>
      <xdr:nvPicPr>
        <xdr:cNvPr id="20" name="Picture 19" descr="A screenshot of a login screen&#10;&#10;Description automatically generated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871" y="56470459"/>
          <a:ext cx="7288803" cy="4978118"/>
        </a:xfrm>
        <a:prstGeom prst="rect">
          <a:avLst/>
        </a:prstGeom>
      </xdr:spPr>
    </xdr:pic>
    <xdr:clientData/>
  </xdr:twoCellAnchor>
  <xdr:twoCellAnchor editAs="oneCell">
    <xdr:from>
      <xdr:col>6</xdr:col>
      <xdr:colOff>68317</xdr:colOff>
      <xdr:row>259</xdr:row>
      <xdr:rowOff>26670</xdr:rowOff>
    </xdr:from>
    <xdr:to>
      <xdr:col>8</xdr:col>
      <xdr:colOff>525663</xdr:colOff>
      <xdr:row>261</xdr:row>
      <xdr:rowOff>72425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42246" y="62374599"/>
          <a:ext cx="1681988" cy="426755"/>
        </a:xfrm>
        <a:prstGeom prst="rect">
          <a:avLst/>
        </a:prstGeom>
      </xdr:spPr>
    </xdr:pic>
    <xdr:clientData/>
  </xdr:twoCellAnchor>
  <xdr:twoCellAnchor editAs="oneCell">
    <xdr:from>
      <xdr:col>5</xdr:col>
      <xdr:colOff>590832</xdr:colOff>
      <xdr:row>263</xdr:row>
      <xdr:rowOff>55245</xdr:rowOff>
    </xdr:from>
    <xdr:to>
      <xdr:col>9</xdr:col>
      <xdr:colOff>33415</xdr:colOff>
      <xdr:row>265</xdr:row>
      <xdr:rowOff>108584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2439" y="63212799"/>
          <a:ext cx="1891869" cy="434339"/>
        </a:xfrm>
        <a:prstGeom prst="rect">
          <a:avLst/>
        </a:prstGeom>
      </xdr:spPr>
    </xdr:pic>
    <xdr:clientData/>
  </xdr:twoCellAnchor>
  <xdr:twoCellAnchor editAs="oneCell">
    <xdr:from>
      <xdr:col>1</xdr:col>
      <xdr:colOff>509746</xdr:colOff>
      <xdr:row>4</xdr:row>
      <xdr:rowOff>96097</xdr:rowOff>
    </xdr:from>
    <xdr:to>
      <xdr:col>13</xdr:col>
      <xdr:colOff>119325</xdr:colOff>
      <xdr:row>19</xdr:row>
      <xdr:rowOff>176893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9EC235-6499-38A6-C77B-BE82B0E23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881" y="1217116"/>
          <a:ext cx="6907194" cy="293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323705</xdr:colOff>
      <xdr:row>6</xdr:row>
      <xdr:rowOff>70311</xdr:rowOff>
    </xdr:from>
    <xdr:to>
      <xdr:col>7</xdr:col>
      <xdr:colOff>31094</xdr:colOff>
      <xdr:row>9</xdr:row>
      <xdr:rowOff>44195</xdr:rowOff>
    </xdr:to>
    <xdr:pic>
      <xdr:nvPicPr>
        <xdr:cNvPr id="5" name="Picture 4" descr="A green hand with a pointy finger&#10;&#10;Description automatically generated">
          <a:extLst>
            <a:ext uri="{FF2B5EF4-FFF2-40B4-BE49-F238E27FC236}">
              <a16:creationId xmlns:a16="http://schemas.microsoft.com/office/drawing/2014/main" id="{1B42D3CF-568F-00CD-A5A9-A655D9ED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0355283">
          <a:off x="3972513" y="157233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7</xdr:col>
      <xdr:colOff>456568</xdr:colOff>
      <xdr:row>23</xdr:row>
      <xdr:rowOff>230589</xdr:rowOff>
    </xdr:from>
    <xdr:to>
      <xdr:col>8</xdr:col>
      <xdr:colOff>389631</xdr:colOff>
      <xdr:row>25</xdr:row>
      <xdr:rowOff>69862</xdr:rowOff>
    </xdr:to>
    <xdr:pic>
      <xdr:nvPicPr>
        <xdr:cNvPr id="6" name="Picture 5" descr="A green hand with a pointy finger&#10;&#10;Description automatically generated">
          <a:extLst>
            <a:ext uri="{FF2B5EF4-FFF2-40B4-BE49-F238E27FC236}">
              <a16:creationId xmlns:a16="http://schemas.microsoft.com/office/drawing/2014/main" id="{3017FFEA-C19A-4C6A-9A8F-9EE24817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4822684" y="4964511"/>
          <a:ext cx="322850" cy="541198"/>
        </a:xfrm>
        <a:prstGeom prst="rect">
          <a:avLst/>
        </a:prstGeom>
      </xdr:spPr>
    </xdr:pic>
    <xdr:clientData/>
  </xdr:twoCellAnchor>
  <xdr:twoCellAnchor editAs="oneCell">
    <xdr:from>
      <xdr:col>2</xdr:col>
      <xdr:colOff>1573</xdr:colOff>
      <xdr:row>33</xdr:row>
      <xdr:rowOff>170089</xdr:rowOff>
    </xdr:from>
    <xdr:to>
      <xdr:col>13</xdr:col>
      <xdr:colOff>9021</xdr:colOff>
      <xdr:row>43</xdr:row>
      <xdr:rowOff>74839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342F77-ACEB-CB2D-FFC3-9AFCBF4D8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42" y="7431070"/>
          <a:ext cx="6696929" cy="2322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170088</xdr:colOff>
      <xdr:row>41</xdr:row>
      <xdr:rowOff>108858</xdr:rowOff>
    </xdr:from>
    <xdr:to>
      <xdr:col>7</xdr:col>
      <xdr:colOff>103151</xdr:colOff>
      <xdr:row>42</xdr:row>
      <xdr:rowOff>186256</xdr:rowOff>
    </xdr:to>
    <xdr:pic>
      <xdr:nvPicPr>
        <xdr:cNvPr id="18" name="Picture 17" descr="A green hand with a pointy finger&#10;&#10;Description automatically generated">
          <a:extLst>
            <a:ext uri="{FF2B5EF4-FFF2-40B4-BE49-F238E27FC236}">
              <a16:creationId xmlns:a16="http://schemas.microsoft.com/office/drawing/2014/main" id="{41C0708B-12DB-470F-A9FF-483A3FE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3958947" y="910391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4</xdr:col>
      <xdr:colOff>453184</xdr:colOff>
      <xdr:row>51</xdr:row>
      <xdr:rowOff>50607</xdr:rowOff>
    </xdr:from>
    <xdr:to>
      <xdr:col>5</xdr:col>
      <xdr:colOff>249984</xdr:colOff>
      <xdr:row>53</xdr:row>
      <xdr:rowOff>68728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69473EA-9260-24C2-F459-DB61643B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7721">
          <a:off x="2902470" y="11256089"/>
          <a:ext cx="409121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539577</xdr:colOff>
      <xdr:row>71</xdr:row>
      <xdr:rowOff>81643</xdr:rowOff>
    </xdr:from>
    <xdr:to>
      <xdr:col>9</xdr:col>
      <xdr:colOff>94728</xdr:colOff>
      <xdr:row>76</xdr:row>
      <xdr:rowOff>20750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B5C4B0-92C8-1F4A-EF9F-B52F49BC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0250" y="15248374"/>
          <a:ext cx="1987690" cy="89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193117</xdr:colOff>
      <xdr:row>78</xdr:row>
      <xdr:rowOff>108857</xdr:rowOff>
    </xdr:from>
    <xdr:to>
      <xdr:col>12</xdr:col>
      <xdr:colOff>443017</xdr:colOff>
      <xdr:row>82</xdr:row>
      <xdr:rowOff>70858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A04110-2CA5-3C28-5E85-8E56493C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9386" y="16660376"/>
          <a:ext cx="6331246" cy="72400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383619</xdr:colOff>
      <xdr:row>80</xdr:row>
      <xdr:rowOff>47625</xdr:rowOff>
    </xdr:from>
    <xdr:to>
      <xdr:col>13</xdr:col>
      <xdr:colOff>316681</xdr:colOff>
      <xdr:row>81</xdr:row>
      <xdr:rowOff>172648</xdr:rowOff>
    </xdr:to>
    <xdr:pic>
      <xdr:nvPicPr>
        <xdr:cNvPr id="38" name="Picture 37" descr="A green hand with a pointy finger&#10;&#10;Description automatically generated">
          <a:extLst>
            <a:ext uri="{FF2B5EF4-FFF2-40B4-BE49-F238E27FC236}">
              <a16:creationId xmlns:a16="http://schemas.microsoft.com/office/drawing/2014/main" id="{255E6C38-F76B-4A42-8FB1-134E1D1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7794071" y="16867307"/>
          <a:ext cx="315523" cy="541197"/>
        </a:xfrm>
        <a:prstGeom prst="rect">
          <a:avLst/>
        </a:prstGeom>
      </xdr:spPr>
    </xdr:pic>
    <xdr:clientData/>
  </xdr:twoCellAnchor>
  <xdr:twoCellAnchor editAs="oneCell">
    <xdr:from>
      <xdr:col>1</xdr:col>
      <xdr:colOff>521805</xdr:colOff>
      <xdr:row>84</xdr:row>
      <xdr:rowOff>58573</xdr:rowOff>
    </xdr:from>
    <xdr:to>
      <xdr:col>13</xdr:col>
      <xdr:colOff>99391</xdr:colOff>
      <xdr:row>108</xdr:row>
      <xdr:rowOff>116368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673FEA7-8E1F-0262-AFE2-3C040C3A7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718" y="17940725"/>
          <a:ext cx="6932543" cy="462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478484</xdr:colOff>
      <xdr:row>110</xdr:row>
      <xdr:rowOff>117231</xdr:rowOff>
    </xdr:from>
    <xdr:to>
      <xdr:col>13</xdr:col>
      <xdr:colOff>122014</xdr:colOff>
      <xdr:row>131</xdr:row>
      <xdr:rowOff>166341</xdr:rowOff>
    </xdr:to>
    <xdr:pic>
      <xdr:nvPicPr>
        <xdr:cNvPr id="40" name="Imagem 1" descr="Uma imagem com texto, captura de ecrã, Tipo de letra, Página web&#10;&#10;Descrição gerada automaticamente">
          <a:extLst>
            <a:ext uri="{FF2B5EF4-FFF2-40B4-BE49-F238E27FC236}">
              <a16:creationId xmlns:a16="http://schemas.microsoft.com/office/drawing/2014/main" id="{4964BE78-AF06-581A-7F35-5902B577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1397" y="23383079"/>
          <a:ext cx="6998487" cy="4049610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187645</xdr:colOff>
      <xdr:row>138</xdr:row>
      <xdr:rowOff>29308</xdr:rowOff>
    </xdr:from>
    <xdr:to>
      <xdr:col>12</xdr:col>
      <xdr:colOff>437545</xdr:colOff>
      <xdr:row>139</xdr:row>
      <xdr:rowOff>247752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AA7FFB-4042-43EE-8F77-48C0B362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3471" y="28778243"/>
          <a:ext cx="6379031" cy="723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414781</xdr:colOff>
      <xdr:row>138</xdr:row>
      <xdr:rowOff>356403</xdr:rowOff>
    </xdr:from>
    <xdr:to>
      <xdr:col>13</xdr:col>
      <xdr:colOff>347843</xdr:colOff>
      <xdr:row>139</xdr:row>
      <xdr:rowOff>166369</xdr:rowOff>
    </xdr:to>
    <xdr:pic>
      <xdr:nvPicPr>
        <xdr:cNvPr id="42" name="Picture 41" descr="A green hand with a pointy finger&#10;&#10;Description automatically generated">
          <a:extLst>
            <a:ext uri="{FF2B5EF4-FFF2-40B4-BE49-F238E27FC236}">
              <a16:creationId xmlns:a16="http://schemas.microsoft.com/office/drawing/2014/main" id="{6EB9BD37-5C57-4594-8F76-E2E46EC0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7885123" y="28989953"/>
          <a:ext cx="315205" cy="545975"/>
        </a:xfrm>
        <a:prstGeom prst="rect">
          <a:avLst/>
        </a:prstGeom>
      </xdr:spPr>
    </xdr:pic>
    <xdr:clientData/>
  </xdr:twoCellAnchor>
  <xdr:twoCellAnchor editAs="oneCell">
    <xdr:from>
      <xdr:col>2</xdr:col>
      <xdr:colOff>159290</xdr:colOff>
      <xdr:row>147</xdr:row>
      <xdr:rowOff>124556</xdr:rowOff>
    </xdr:from>
    <xdr:to>
      <xdr:col>12</xdr:col>
      <xdr:colOff>483489</xdr:colOff>
      <xdr:row>169</xdr:row>
      <xdr:rowOff>183171</xdr:rowOff>
    </xdr:to>
    <xdr:pic>
      <xdr:nvPicPr>
        <xdr:cNvPr id="43" name="Imagem 1" descr="Uma imagem com texto, captura de ecrã, Tipo de letra, número&#10;&#10;Descrição gerada automaticamente">
          <a:extLst>
            <a:ext uri="{FF2B5EF4-FFF2-40B4-BE49-F238E27FC236}">
              <a16:creationId xmlns:a16="http://schemas.microsoft.com/office/drawing/2014/main" id="{ECAA96F4-0E77-B9BC-F461-6D090814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5116" y="36443795"/>
          <a:ext cx="6453330" cy="4249615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141</xdr:row>
      <xdr:rowOff>36635</xdr:rowOff>
    </xdr:from>
    <xdr:to>
      <xdr:col>13</xdr:col>
      <xdr:colOff>578742</xdr:colOff>
      <xdr:row>141</xdr:row>
      <xdr:rowOff>3941884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356FDD6-7A01-1467-7F1C-08ECBB8D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8731" y="30545943"/>
          <a:ext cx="7795761" cy="3905249"/>
        </a:xfrm>
        <a:prstGeom prst="rect">
          <a:avLst/>
        </a:prstGeom>
      </xdr:spPr>
    </xdr:pic>
    <xdr:clientData/>
  </xdr:twoCellAnchor>
  <xdr:twoCellAnchor editAs="oneCell">
    <xdr:from>
      <xdr:col>9</xdr:col>
      <xdr:colOff>482111</xdr:colOff>
      <xdr:row>141</xdr:row>
      <xdr:rowOff>196362</xdr:rowOff>
    </xdr:from>
    <xdr:to>
      <xdr:col>10</xdr:col>
      <xdr:colOff>278912</xdr:colOff>
      <xdr:row>141</xdr:row>
      <xdr:rowOff>595483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8C3364-C5B7-4A9B-9724-29A3EE4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854599">
          <a:off x="5955323" y="30705670"/>
          <a:ext cx="40493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238858</xdr:colOff>
      <xdr:row>141</xdr:row>
      <xdr:rowOff>663820</xdr:rowOff>
    </xdr:from>
    <xdr:to>
      <xdr:col>12</xdr:col>
      <xdr:colOff>35659</xdr:colOff>
      <xdr:row>141</xdr:row>
      <xdr:rowOff>1062941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5B6789-908F-448A-8C74-14EE0468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854599">
          <a:off x="6928339" y="31173128"/>
          <a:ext cx="40493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518931</xdr:colOff>
      <xdr:row>143</xdr:row>
      <xdr:rowOff>197721</xdr:rowOff>
    </xdr:from>
    <xdr:to>
      <xdr:col>9</xdr:col>
      <xdr:colOff>115568</xdr:colOff>
      <xdr:row>143</xdr:row>
      <xdr:rowOff>656386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4BD57D-8582-C35F-C476-E654E214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496" y="34893569"/>
          <a:ext cx="2048289" cy="45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59883</xdr:colOff>
      <xdr:row>143</xdr:row>
      <xdr:rowOff>446942</xdr:rowOff>
    </xdr:from>
    <xdr:to>
      <xdr:col>9</xdr:col>
      <xdr:colOff>610046</xdr:colOff>
      <xdr:row>143</xdr:row>
      <xdr:rowOff>762465</xdr:rowOff>
    </xdr:to>
    <xdr:pic>
      <xdr:nvPicPr>
        <xdr:cNvPr id="49" name="Picture 48" descr="A green hand with a pointy finger&#10;&#10;Description automatically generated">
          <a:extLst>
            <a:ext uri="{FF2B5EF4-FFF2-40B4-BE49-F238E27FC236}">
              <a16:creationId xmlns:a16="http://schemas.microsoft.com/office/drawing/2014/main" id="{A6EEE166-3060-4439-B58B-A125290B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5693420" y="35025470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3</xdr:col>
      <xdr:colOff>309961</xdr:colOff>
      <xdr:row>231</xdr:row>
      <xdr:rowOff>131883</xdr:rowOff>
    </xdr:from>
    <xdr:to>
      <xdr:col>11</xdr:col>
      <xdr:colOff>302635</xdr:colOff>
      <xdr:row>257</xdr:row>
      <xdr:rowOff>41436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864E852-FB65-432B-B98C-3F93A9DC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700" y="52842405"/>
          <a:ext cx="4895978" cy="486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51804</xdr:colOff>
      <xdr:row>89</xdr:row>
      <xdr:rowOff>153516</xdr:rowOff>
    </xdr:from>
    <xdr:to>
      <xdr:col>11</xdr:col>
      <xdr:colOff>597781</xdr:colOff>
      <xdr:row>91</xdr:row>
      <xdr:rowOff>88039</xdr:rowOff>
    </xdr:to>
    <xdr:pic>
      <xdr:nvPicPr>
        <xdr:cNvPr id="52" name="Picture 51" descr="A green hand with a pointy finger&#10;&#10;Description automatically generated">
          <a:extLst>
            <a:ext uri="{FF2B5EF4-FFF2-40B4-BE49-F238E27FC236}">
              <a16:creationId xmlns:a16="http://schemas.microsoft.com/office/drawing/2014/main" id="{D65C666E-2AB3-4D03-B9A3-159DC546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6909074" y="18872941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9</xdr:col>
      <xdr:colOff>381964</xdr:colOff>
      <xdr:row>94</xdr:row>
      <xdr:rowOff>31952</xdr:rowOff>
    </xdr:from>
    <xdr:to>
      <xdr:col>10</xdr:col>
      <xdr:colOff>315027</xdr:colOff>
      <xdr:row>95</xdr:row>
      <xdr:rowOff>156975</xdr:rowOff>
    </xdr:to>
    <xdr:pic>
      <xdr:nvPicPr>
        <xdr:cNvPr id="53" name="Picture 52" descr="A green hand with a pointy finger&#10;&#10;Description automatically generated">
          <a:extLst>
            <a:ext uri="{FF2B5EF4-FFF2-40B4-BE49-F238E27FC236}">
              <a16:creationId xmlns:a16="http://schemas.microsoft.com/office/drawing/2014/main" id="{B8E705B5-122D-4C7F-8E6C-9D385C8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876875">
          <a:off x="6013407" y="19703878"/>
          <a:ext cx="315523" cy="545976"/>
        </a:xfrm>
        <a:prstGeom prst="rect">
          <a:avLst/>
        </a:prstGeom>
      </xdr:spPr>
    </xdr:pic>
    <xdr:clientData/>
  </xdr:twoCellAnchor>
  <xdr:twoCellAnchor editAs="oneCell">
    <xdr:from>
      <xdr:col>11</xdr:col>
      <xdr:colOff>19889</xdr:colOff>
      <xdr:row>95</xdr:row>
      <xdr:rowOff>186579</xdr:rowOff>
    </xdr:from>
    <xdr:to>
      <xdr:col>11</xdr:col>
      <xdr:colOff>565866</xdr:colOff>
      <xdr:row>97</xdr:row>
      <xdr:rowOff>121102</xdr:rowOff>
    </xdr:to>
    <xdr:pic>
      <xdr:nvPicPr>
        <xdr:cNvPr id="54" name="Picture 53" descr="A green hand with a pointy finger&#10;&#10;Description automatically generated">
          <a:extLst>
            <a:ext uri="{FF2B5EF4-FFF2-40B4-BE49-F238E27FC236}">
              <a16:creationId xmlns:a16="http://schemas.microsoft.com/office/drawing/2014/main" id="{393C93C2-1C7C-4A6E-BD69-1F2CFF8D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399317">
          <a:off x="6877159" y="20049004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10</xdr:col>
      <xdr:colOff>531236</xdr:colOff>
      <xdr:row>116</xdr:row>
      <xdr:rowOff>8279</xdr:rowOff>
    </xdr:from>
    <xdr:to>
      <xdr:col>11</xdr:col>
      <xdr:colOff>464300</xdr:colOff>
      <xdr:row>117</xdr:row>
      <xdr:rowOff>133302</xdr:rowOff>
    </xdr:to>
    <xdr:pic>
      <xdr:nvPicPr>
        <xdr:cNvPr id="55" name="Picture 54" descr="A green hand with a pointy finger&#10;&#10;Description automatically generated">
          <a:extLst>
            <a:ext uri="{FF2B5EF4-FFF2-40B4-BE49-F238E27FC236}">
              <a16:creationId xmlns:a16="http://schemas.microsoft.com/office/drawing/2014/main" id="{182422A2-6DE3-4CA0-BE2E-80579322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6775593" y="24301900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9</xdr:col>
      <xdr:colOff>281612</xdr:colOff>
      <xdr:row>121</xdr:row>
      <xdr:rowOff>102063</xdr:rowOff>
    </xdr:from>
    <xdr:to>
      <xdr:col>10</xdr:col>
      <xdr:colOff>214675</xdr:colOff>
      <xdr:row>123</xdr:row>
      <xdr:rowOff>36586</xdr:rowOff>
    </xdr:to>
    <xdr:pic>
      <xdr:nvPicPr>
        <xdr:cNvPr id="56" name="Picture 55" descr="A green hand with a pointy finger&#10;&#10;Description automatically generated">
          <a:extLst>
            <a:ext uri="{FF2B5EF4-FFF2-40B4-BE49-F238E27FC236}">
              <a16:creationId xmlns:a16="http://schemas.microsoft.com/office/drawing/2014/main" id="{FA7EA28E-495B-47DF-AA15-EBF0A55C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876875">
          <a:off x="5913055" y="25348185"/>
          <a:ext cx="315523" cy="545976"/>
        </a:xfrm>
        <a:prstGeom prst="rect">
          <a:avLst/>
        </a:prstGeom>
      </xdr:spPr>
    </xdr:pic>
    <xdr:clientData/>
  </xdr:twoCellAnchor>
  <xdr:twoCellAnchor editAs="oneCell">
    <xdr:from>
      <xdr:col>10</xdr:col>
      <xdr:colOff>557297</xdr:colOff>
      <xdr:row>124</xdr:row>
      <xdr:rowOff>49627</xdr:rowOff>
    </xdr:from>
    <xdr:to>
      <xdr:col>11</xdr:col>
      <xdr:colOff>490361</xdr:colOff>
      <xdr:row>125</xdr:row>
      <xdr:rowOff>174650</xdr:rowOff>
    </xdr:to>
    <xdr:pic>
      <xdr:nvPicPr>
        <xdr:cNvPr id="57" name="Picture 56" descr="A green hand with a pointy finger&#10;&#10;Description automatically generated">
          <a:extLst>
            <a:ext uri="{FF2B5EF4-FFF2-40B4-BE49-F238E27FC236}">
              <a16:creationId xmlns:a16="http://schemas.microsoft.com/office/drawing/2014/main" id="{BC8C4E9B-C7CE-4CA3-B232-3B73DF6C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399317">
          <a:off x="6801654" y="25867248"/>
          <a:ext cx="315523" cy="545977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190507</xdr:colOff>
      <xdr:row>225</xdr:row>
      <xdr:rowOff>140805</xdr:rowOff>
    </xdr:from>
    <xdr:to>
      <xdr:col>9</xdr:col>
      <xdr:colOff>429542</xdr:colOff>
      <xdr:row>228</xdr:row>
      <xdr:rowOff>170582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24A9AFA-26BE-01BC-496F-289A8DDA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55072" y="51608935"/>
          <a:ext cx="2690687" cy="650973"/>
        </a:xfrm>
        <a:prstGeom prst="rect">
          <a:avLst/>
        </a:prstGeom>
      </xdr:spPr>
    </xdr:pic>
    <xdr:clientData/>
  </xdr:twoCellAnchor>
  <xdr:twoCellAnchor editAs="oneCell">
    <xdr:from>
      <xdr:col>9</xdr:col>
      <xdr:colOff>438981</xdr:colOff>
      <xdr:row>227</xdr:row>
      <xdr:rowOff>8283</xdr:rowOff>
    </xdr:from>
    <xdr:to>
      <xdr:col>10</xdr:col>
      <xdr:colOff>371452</xdr:colOff>
      <xdr:row>228</xdr:row>
      <xdr:rowOff>133306</xdr:rowOff>
    </xdr:to>
    <xdr:pic>
      <xdr:nvPicPr>
        <xdr:cNvPr id="59" name="Picture 58" descr="A green hand with a pointy finger&#10;&#10;Description automatically generated">
          <a:extLst>
            <a:ext uri="{FF2B5EF4-FFF2-40B4-BE49-F238E27FC236}">
              <a16:creationId xmlns:a16="http://schemas.microsoft.com/office/drawing/2014/main" id="{9E5ED85C-2917-4D7A-B6F1-74A2C1FC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7803861">
          <a:off x="6070128" y="51792179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171</xdr:row>
      <xdr:rowOff>114300</xdr:rowOff>
    </xdr:from>
    <xdr:to>
      <xdr:col>13</xdr:col>
      <xdr:colOff>323850</xdr:colOff>
      <xdr:row>195</xdr:row>
      <xdr:rowOff>0</xdr:rowOff>
    </xdr:to>
    <xdr:pic>
      <xdr:nvPicPr>
        <xdr:cNvPr id="7182" name="Picture 14">
          <a:extLst>
            <a:ext uri="{FF2B5EF4-FFF2-40B4-BE49-F238E27FC236}">
              <a16:creationId xmlns:a16="http://schemas.microsoft.com/office/drawing/2014/main" id="{CB94EEC5-00AA-A227-3D95-7009F4648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0205025"/>
          <a:ext cx="73533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169364</xdr:colOff>
      <xdr:row>2</xdr:row>
      <xdr:rowOff>135889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7839" cy="494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171450</xdr:rowOff>
    </xdr:from>
    <xdr:to>
      <xdr:col>1</xdr:col>
      <xdr:colOff>586779</xdr:colOff>
      <xdr:row>9</xdr:row>
      <xdr:rowOff>15869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076325"/>
          <a:ext cx="1072554" cy="5626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396241</xdr:colOff>
      <xdr:row>15</xdr:row>
      <xdr:rowOff>114300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96000" y="2533650"/>
          <a:ext cx="396241" cy="29527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0</xdr:colOff>
      <xdr:row>16</xdr:row>
      <xdr:rowOff>34290</xdr:rowOff>
    </xdr:from>
    <xdr:to>
      <xdr:col>10</xdr:col>
      <xdr:colOff>396241</xdr:colOff>
      <xdr:row>17</xdr:row>
      <xdr:rowOff>152400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6096000" y="2929890"/>
          <a:ext cx="396241" cy="29908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575310</xdr:colOff>
      <xdr:row>21</xdr:row>
      <xdr:rowOff>11430</xdr:rowOff>
    </xdr:from>
    <xdr:to>
      <xdr:col>12</xdr:col>
      <xdr:colOff>375286</xdr:colOff>
      <xdr:row>22</xdr:row>
      <xdr:rowOff>123825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80910" y="3811905"/>
          <a:ext cx="409576" cy="29337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28</xdr:row>
      <xdr:rowOff>53340</xdr:rowOff>
    </xdr:from>
    <xdr:to>
      <xdr:col>12</xdr:col>
      <xdr:colOff>371476</xdr:colOff>
      <xdr:row>29</xdr:row>
      <xdr:rowOff>169545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7290435" y="5120640"/>
          <a:ext cx="39624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30</xdr:row>
      <xdr:rowOff>123825</xdr:rowOff>
    </xdr:from>
    <xdr:to>
      <xdr:col>12</xdr:col>
      <xdr:colOff>379096</xdr:colOff>
      <xdr:row>32</xdr:row>
      <xdr:rowOff>59055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290435" y="5553075"/>
          <a:ext cx="40386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5</xdr:col>
      <xdr:colOff>0</xdr:colOff>
      <xdr:row>26</xdr:row>
      <xdr:rowOff>109537</xdr:rowOff>
    </xdr:from>
    <xdr:to>
      <xdr:col>5</xdr:col>
      <xdr:colOff>243861</xdr:colOff>
      <xdr:row>27</xdr:row>
      <xdr:rowOff>132415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4814887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243861</xdr:colOff>
      <xdr:row>23</xdr:row>
      <xdr:rowOff>24783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3981450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513715</xdr:colOff>
      <xdr:row>25</xdr:row>
      <xdr:rowOff>123191</xdr:rowOff>
    </xdr:from>
    <xdr:to>
      <xdr:col>6</xdr:col>
      <xdr:colOff>178456</xdr:colOff>
      <xdr:row>26</xdr:row>
      <xdr:rowOff>128924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541054">
          <a:off x="3561715" y="4647566"/>
          <a:ext cx="270531" cy="18480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154307</xdr:colOff>
      <xdr:row>28</xdr:row>
      <xdr:rowOff>145411</xdr:rowOff>
    </xdr:from>
    <xdr:to>
      <xdr:col>5</xdr:col>
      <xdr:colOff>344825</xdr:colOff>
      <xdr:row>30</xdr:row>
      <xdr:rowOff>12082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182303" y="5232715"/>
          <a:ext cx="230526" cy="19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28</xdr:row>
      <xdr:rowOff>24445</xdr:rowOff>
    </xdr:from>
    <xdr:to>
      <xdr:col>6</xdr:col>
      <xdr:colOff>574378</xdr:colOff>
      <xdr:row>29</xdr:row>
      <xdr:rowOff>102571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003358" y="5126037"/>
          <a:ext cx="262911" cy="1943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3</xdr:col>
      <xdr:colOff>111281</xdr:colOff>
      <xdr:row>17</xdr:row>
      <xdr:rowOff>28416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66925"/>
          <a:ext cx="1721006" cy="1038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324160</xdr:colOff>
      <xdr:row>8</xdr:row>
      <xdr:rowOff>160655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E079F-D42B-4EDC-B432-511D30F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762000"/>
          <a:ext cx="1543360" cy="92265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14</xdr:row>
      <xdr:rowOff>161925</xdr:rowOff>
    </xdr:from>
    <xdr:to>
      <xdr:col>9</xdr:col>
      <xdr:colOff>36196</xdr:colOff>
      <xdr:row>19</xdr:row>
      <xdr:rowOff>10542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6E9F58-C0EF-41D2-A950-A024225F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9325" y="2828925"/>
          <a:ext cx="3303271" cy="80111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400051</xdr:colOff>
      <xdr:row>14</xdr:row>
      <xdr:rowOff>120015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26CF5AEC-3EB0-4AC6-969F-87B4F6F20963}"/>
            </a:ext>
          </a:extLst>
        </xdr:cNvPr>
        <xdr:cNvSpPr/>
      </xdr:nvSpPr>
      <xdr:spPr>
        <a:xfrm>
          <a:off x="7924800" y="2476500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400051</xdr:colOff>
      <xdr:row>16</xdr:row>
      <xdr:rowOff>148590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id="{CA542A44-6827-4A37-99BB-0C8435A905C4}"/>
            </a:ext>
          </a:extLst>
        </xdr:cNvPr>
        <xdr:cNvSpPr/>
      </xdr:nvSpPr>
      <xdr:spPr>
        <a:xfrm>
          <a:off x="7924800" y="2886075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567690</xdr:colOff>
      <xdr:row>20</xdr:row>
      <xdr:rowOff>15240</xdr:rowOff>
    </xdr:from>
    <xdr:to>
      <xdr:col>15</xdr:col>
      <xdr:colOff>331471</xdr:colOff>
      <xdr:row>21</xdr:row>
      <xdr:rowOff>121920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F5290F73-9738-4989-BDEF-B0AA5379F750}"/>
            </a:ext>
          </a:extLst>
        </xdr:cNvPr>
        <xdr:cNvSpPr/>
      </xdr:nvSpPr>
      <xdr:spPr>
        <a:xfrm>
          <a:off x="9102090" y="3825240"/>
          <a:ext cx="373381" cy="29718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27</xdr:row>
      <xdr:rowOff>55245</xdr:rowOff>
    </xdr:from>
    <xdr:to>
      <xdr:col>15</xdr:col>
      <xdr:colOff>329566</xdr:colOff>
      <xdr:row>28</xdr:row>
      <xdr:rowOff>167640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E85D75EE-5659-4A94-B9A5-835ABD067CD1}"/>
            </a:ext>
          </a:extLst>
        </xdr:cNvPr>
        <xdr:cNvSpPr/>
      </xdr:nvSpPr>
      <xdr:spPr>
        <a:xfrm>
          <a:off x="9107805" y="5198745"/>
          <a:ext cx="365761" cy="30289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29</xdr:row>
      <xdr:rowOff>120015</xdr:rowOff>
    </xdr:from>
    <xdr:to>
      <xdr:col>15</xdr:col>
      <xdr:colOff>333376</xdr:colOff>
      <xdr:row>31</xdr:row>
      <xdr:rowOff>57150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4A1A18ED-DCF2-4BB2-93ED-1B6B8DF78170}"/>
            </a:ext>
          </a:extLst>
        </xdr:cNvPr>
        <xdr:cNvSpPr/>
      </xdr:nvSpPr>
      <xdr:spPr>
        <a:xfrm>
          <a:off x="9107805" y="5644515"/>
          <a:ext cx="369571" cy="31813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2EA9EA5E-00B7-A549-DF87-5EBF9E61163F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20</xdr:row>
      <xdr:rowOff>28575</xdr:rowOff>
    </xdr:from>
    <xdr:to>
      <xdr:col>1</xdr:col>
      <xdr:colOff>581025</xdr:colOff>
      <xdr:row>23</xdr:row>
      <xdr:rowOff>57150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32E59D2-8936-4A5B-8B85-DC186F11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8575"/>
          <a:ext cx="6096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545384</xdr:colOff>
      <xdr:row>27</xdr:row>
      <xdr:rowOff>125023</xdr:rowOff>
    </xdr:to>
    <xdr:pic>
      <xdr:nvPicPr>
        <xdr:cNvPr id="26" name="Picture 25" descr="A green hand with a pointy finger&#10;&#10;Description automatically generated">
          <a:extLst>
            <a:ext uri="{FF2B5EF4-FFF2-40B4-BE49-F238E27FC236}">
              <a16:creationId xmlns:a16="http://schemas.microsoft.com/office/drawing/2014/main" id="{D3DAA451-6192-435B-8331-01E3AA58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24530" y="4838070"/>
          <a:ext cx="315523" cy="5453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016C-6F9E-4587-9643-69F60D0B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11DEB-5910-4E25-9DCE-DCFBF696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1185334</xdr:colOff>
      <xdr:row>0</xdr:row>
      <xdr:rowOff>42333</xdr:rowOff>
    </xdr:from>
    <xdr:to>
      <xdr:col>13</xdr:col>
      <xdr:colOff>1409567</xdr:colOff>
      <xdr:row>4</xdr:row>
      <xdr:rowOff>259654</xdr:rowOff>
    </xdr:to>
    <xdr:pic>
      <xdr:nvPicPr>
        <xdr:cNvPr id="4" name="Imagem 13">
          <a:extLst>
            <a:ext uri="{FF2B5EF4-FFF2-40B4-BE49-F238E27FC236}">
              <a16:creationId xmlns:a16="http://schemas.microsoft.com/office/drawing/2014/main" id="{CFCE6C06-6EBB-4D81-B651-3A267A00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1334" y="42333"/>
          <a:ext cx="2362066" cy="1275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00"/>
  <sheetViews>
    <sheetView showGridLines="0" zoomScaleNormal="100" workbookViewId="0">
      <selection activeCell="G11" sqref="G11:I11"/>
    </sheetView>
  </sheetViews>
  <sheetFormatPr defaultColWidth="9.140625" defaultRowHeight="15" x14ac:dyDescent="0.25"/>
  <cols>
    <col min="1" max="1" width="9.140625" style="1" customWidth="1"/>
    <col min="2" max="2" width="6.140625" style="1" customWidth="1"/>
    <col min="3" max="3" width="9.140625" style="1" customWidth="1"/>
    <col min="4" max="4" width="9.140625" style="1" hidden="1" customWidth="1"/>
    <col min="5" max="5" width="3.7109375" style="62" hidden="1" customWidth="1"/>
    <col min="6" max="6" width="19.7109375" style="62" customWidth="1"/>
    <col min="7" max="7" width="19.85546875" style="62" customWidth="1"/>
    <col min="8" max="8" width="13.42578125" style="62" customWidth="1"/>
    <col min="9" max="9" width="20.5703125" style="62" bestFit="1" customWidth="1"/>
    <col min="10" max="10" width="14.28515625" style="62" bestFit="1" customWidth="1"/>
    <col min="11" max="11" width="18.28515625" style="1" customWidth="1"/>
    <col min="12" max="12" width="20.42578125" style="1" customWidth="1"/>
    <col min="13" max="13" width="12.42578125" style="1" customWidth="1"/>
    <col min="14" max="14" width="22.42578125" style="1" customWidth="1"/>
    <col min="15" max="15" width="12.140625" style="1" bestFit="1" customWidth="1"/>
    <col min="16" max="17" width="9.140625" style="1"/>
    <col min="18" max="18" width="9.42578125" style="1" bestFit="1" customWidth="1"/>
    <col min="19" max="16384" width="9.140625" style="1"/>
  </cols>
  <sheetData>
    <row r="1" spans="1:14 16373:16384" ht="21.6" customHeight="1" x14ac:dyDescent="0.25">
      <c r="A1" s="272" t="str">
        <f>IF(TIR!B4="FOLHA","","ATENÇÃO")</f>
        <v>ATENÇÃO</v>
      </c>
      <c r="K1" s="411" t="s">
        <v>108</v>
      </c>
      <c r="L1" s="412"/>
      <c r="M1" s="412"/>
      <c r="N1" s="413"/>
      <c r="XFB1" s="2" t="s">
        <v>55</v>
      </c>
      <c r="XFC1" s="2"/>
      <c r="XFD1" s="2" t="s">
        <v>55</v>
      </c>
    </row>
    <row r="2" spans="1:14 16373:16384" ht="21" customHeight="1" x14ac:dyDescent="0.25">
      <c r="K2" s="414" t="s">
        <v>223</v>
      </c>
      <c r="L2" s="415"/>
      <c r="M2" s="415"/>
      <c r="N2" s="416"/>
      <c r="XFB2" s="2" t="s">
        <v>92</v>
      </c>
      <c r="XFC2" s="2"/>
      <c r="XFD2" s="2" t="s">
        <v>49</v>
      </c>
    </row>
    <row r="3" spans="1:14 16373:16384" ht="21" customHeight="1" x14ac:dyDescent="0.25">
      <c r="K3" s="414" t="s">
        <v>309</v>
      </c>
      <c r="L3" s="415"/>
      <c r="M3" s="415"/>
      <c r="N3" s="416"/>
      <c r="XFB3" s="2" t="s">
        <v>93</v>
      </c>
      <c r="XFC3" s="2"/>
      <c r="XFD3" s="2" t="s">
        <v>53</v>
      </c>
    </row>
    <row r="4" spans="1:14 16373:16384" ht="21" customHeight="1" x14ac:dyDescent="0.25">
      <c r="K4" s="417" t="s">
        <v>212</v>
      </c>
      <c r="L4" s="418"/>
      <c r="M4" s="418"/>
      <c r="N4" s="419"/>
    </row>
    <row r="5" spans="1:14 16373:16384" ht="21" customHeight="1" x14ac:dyDescent="0.25">
      <c r="K5" s="102"/>
      <c r="L5" s="102"/>
      <c r="M5" s="102"/>
      <c r="N5" s="102"/>
    </row>
    <row r="6" spans="1:14 16373:16384" x14ac:dyDescent="0.25">
      <c r="F6" s="420" t="s">
        <v>79</v>
      </c>
      <c r="G6" s="420"/>
      <c r="H6" s="420"/>
      <c r="I6" s="420"/>
      <c r="J6" s="420"/>
      <c r="K6" s="420"/>
      <c r="L6" s="420"/>
      <c r="M6" s="420"/>
      <c r="N6" s="420"/>
    </row>
    <row r="7" spans="1:14 16373:16384" ht="15.75" x14ac:dyDescent="0.25">
      <c r="F7" s="421" t="s">
        <v>95</v>
      </c>
      <c r="G7" s="421"/>
      <c r="H7" s="421"/>
      <c r="I7" s="421"/>
      <c r="K7" s="406" t="s">
        <v>59</v>
      </c>
      <c r="L7" s="406"/>
      <c r="M7" s="406"/>
      <c r="N7" s="406"/>
    </row>
    <row r="8" spans="1:14 16373:16384" ht="7.5" customHeight="1" thickBot="1" x14ac:dyDescent="0.3">
      <c r="F8" s="1"/>
      <c r="G8" s="1"/>
      <c r="H8" s="1"/>
      <c r="I8" s="1"/>
    </row>
    <row r="9" spans="1:14 16373:16384" ht="25.5" customHeight="1" thickTop="1" thickBot="1" x14ac:dyDescent="0.3">
      <c r="F9" s="390" t="s">
        <v>144</v>
      </c>
      <c r="G9" s="391"/>
      <c r="H9" s="391"/>
      <c r="I9" s="392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25">
      <c r="K10" s="67"/>
      <c r="L10" s="67"/>
      <c r="M10" s="67"/>
      <c r="N10" s="67"/>
    </row>
    <row r="11" spans="1:14 16373:16384" ht="25.5" customHeight="1" x14ac:dyDescent="0.25">
      <c r="F11" s="76" t="s">
        <v>56</v>
      </c>
      <c r="G11" s="389" t="s">
        <v>365</v>
      </c>
      <c r="H11" s="389"/>
      <c r="I11" s="389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25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25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PREENCHER","",M121)))))</f>
        <v>-11.500000000000002</v>
      </c>
    </row>
    <row r="14" spans="1:14 16373:16384" ht="7.5" customHeight="1" thickBot="1" x14ac:dyDescent="0.3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">
      <c r="F15" s="396" t="str">
        <f>TIR!B7</f>
        <v>Obrigações Mota-Engil 2029</v>
      </c>
      <c r="G15" s="397"/>
      <c r="H15" s="397"/>
      <c r="I15" s="398"/>
      <c r="K15" s="105" t="s">
        <v>77</v>
      </c>
      <c r="L15" s="72">
        <f>IF(G11="","",IF(G13="","",IF(I13="","",IF(H25="A PREENCHER","",IF(H27="A PREENCHER","",IF(H27="FALSO","-",TIR!L247))))))</f>
        <v>-150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PREENCHER","",IF(H27="FALSO","-",O121))))))</f>
        <v>-34.6</v>
      </c>
    </row>
    <row r="16" spans="1:14 16373:16384" ht="7.5" customHeight="1" thickTop="1" x14ac:dyDescent="0.25">
      <c r="K16" s="95"/>
      <c r="L16" s="67"/>
      <c r="M16" s="67"/>
      <c r="N16" s="71"/>
    </row>
    <row r="17" spans="6:15" ht="30" customHeight="1" x14ac:dyDescent="0.25">
      <c r="F17" s="401" t="s">
        <v>54</v>
      </c>
      <c r="G17" s="402"/>
      <c r="H17" s="399">
        <v>2500</v>
      </c>
      <c r="I17" s="40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5" ht="7.5" customHeight="1" x14ac:dyDescent="0.25">
      <c r="F18" s="97"/>
      <c r="G18" s="97"/>
      <c r="K18" s="94"/>
      <c r="L18" s="67"/>
      <c r="M18" s="67"/>
      <c r="N18" s="71"/>
    </row>
    <row r="19" spans="6:15" x14ac:dyDescent="0.25">
      <c r="F19" s="395" t="s">
        <v>58</v>
      </c>
      <c r="G19" s="395"/>
      <c r="H19" s="393">
        <f>IF(G11="","",IF(G13="","",IF(I13="","",IF(H25="A PREENCHER","",IF(H27="A PREENCHER","",TIR!B36)))))</f>
        <v>10</v>
      </c>
      <c r="I19" s="394"/>
      <c r="K19" s="106" t="s">
        <v>85</v>
      </c>
      <c r="L19" s="232">
        <f>IF(G11="","",IF(G13="","",IF(I13="","",IF(H25="A PREENCHER","",IF(H27="A PREENCHER","",SUM(L11:L17))))))</f>
        <v>-225</v>
      </c>
      <c r="M19" s="233">
        <f>IF(G11="","",IF(G13="","",IF(I13="","",IF(H25="A PREENCHER","",IF(H27="A PREENCHER","",SUM(M11:M17))))))</f>
        <v>-0.5</v>
      </c>
      <c r="N19" s="234">
        <f>IF(G11="","",IF(G13="","",IF(I13="","",IF(H25="A PREENCHER","",IF(H27="A PREENCHER","",SUM(N11:N17))))))</f>
        <v>-48.980000000000004</v>
      </c>
    </row>
    <row r="20" spans="6:15" ht="7.5" customHeight="1" x14ac:dyDescent="0.25">
      <c r="F20" s="97"/>
      <c r="G20" s="97"/>
      <c r="K20" s="103"/>
      <c r="L20" s="103"/>
      <c r="M20" s="103"/>
      <c r="N20" s="103"/>
    </row>
    <row r="21" spans="6:15" ht="18" customHeight="1" x14ac:dyDescent="0.25">
      <c r="F21" s="395" t="s">
        <v>81</v>
      </c>
      <c r="G21" s="395"/>
      <c r="H21" s="444">
        <f>IF(G11="","",IF(G13="","",IF(I13="","",IF(H25="A PREENCHER","",IF(H27="A PREENCHER","",TIR!B8)))))</f>
        <v>0.05</v>
      </c>
      <c r="I21" s="445"/>
      <c r="K21" s="406" t="s">
        <v>89</v>
      </c>
      <c r="L21" s="406"/>
      <c r="M21" s="406"/>
      <c r="N21" s="406"/>
    </row>
    <row r="22" spans="6:15" ht="7.5" customHeight="1" x14ac:dyDescent="0.25">
      <c r="F22" s="97"/>
      <c r="G22" s="97"/>
    </row>
    <row r="23" spans="6:15" ht="15" customHeight="1" x14ac:dyDescent="0.25">
      <c r="F23" s="395" t="s">
        <v>2</v>
      </c>
      <c r="G23" s="395"/>
      <c r="H23" s="393" t="str">
        <f>IF(G11="","",IF(G13="","",IF(I13="","",IF(H25="A PREENCHER","",IF(H27="A PREENCHER","",'Mota Engil 2024-2029'!E20)))))</f>
        <v>5 anos</v>
      </c>
      <c r="I23" s="394"/>
      <c r="K23" s="407" t="s">
        <v>83</v>
      </c>
      <c r="L23" s="408"/>
      <c r="M23" s="454">
        <f>IF(G11="","",IF(G13="","",IF(I13="","",IF(H25="A PREENCHER","",IF(H27="A PREENCHER","",H17)))))</f>
        <v>2500</v>
      </c>
      <c r="N23" s="455"/>
    </row>
    <row r="24" spans="6:15" ht="7.5" customHeight="1" x14ac:dyDescent="0.25">
      <c r="F24" s="97"/>
      <c r="G24" s="97"/>
      <c r="K24" s="94"/>
      <c r="L24" s="96"/>
      <c r="M24" s="67"/>
      <c r="N24" s="71"/>
    </row>
    <row r="25" spans="6:15" ht="22.5" customHeight="1" x14ac:dyDescent="0.25">
      <c r="F25" s="450" t="s">
        <v>47</v>
      </c>
      <c r="G25" s="451"/>
      <c r="H25" s="448" t="s">
        <v>49</v>
      </c>
      <c r="I25" s="449"/>
      <c r="K25" s="409" t="s">
        <v>84</v>
      </c>
      <c r="L25" s="410"/>
      <c r="M25" s="442">
        <f>IF(G11="","",IF(G13="","",IF(I13="","",IF(H25="A PREENCHER","",IF(H27="A PREENCHER","",J121)))))</f>
        <v>625</v>
      </c>
      <c r="N25" s="443"/>
    </row>
    <row r="26" spans="6:15" ht="7.5" customHeight="1" x14ac:dyDescent="0.25">
      <c r="F26" s="97"/>
      <c r="G26" s="97"/>
      <c r="K26" s="95"/>
      <c r="L26" s="67"/>
      <c r="M26" s="67"/>
      <c r="N26" s="71"/>
    </row>
    <row r="27" spans="6:15" ht="37.15" customHeight="1" x14ac:dyDescent="0.25">
      <c r="F27" s="452" t="s">
        <v>91</v>
      </c>
      <c r="G27" s="453"/>
      <c r="H27" s="448" t="s">
        <v>92</v>
      </c>
      <c r="I27" s="449"/>
      <c r="K27" s="409" t="str">
        <f>IF(H27="A PREENCHER","",H25&amp;" sobre os Juros ("&amp;TIR!C37&amp;")")</f>
        <v>IRS sobre os Juros (0,28)</v>
      </c>
      <c r="L27" s="410"/>
      <c r="M27" s="442">
        <f>IF(G11="","",IF(G13="","",IF(I13="","",IF(H25="A PREENCHER","",IF(H27="A PREENCHER","",K121)))))</f>
        <v>-175</v>
      </c>
      <c r="N27" s="443"/>
    </row>
    <row r="28" spans="6:15" ht="7.5" customHeight="1" x14ac:dyDescent="0.25">
      <c r="F28" s="446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46"/>
      <c r="H28" s="446"/>
      <c r="I28" s="446"/>
      <c r="K28" s="95"/>
      <c r="L28" s="67"/>
      <c r="M28" s="67"/>
      <c r="N28" s="71"/>
    </row>
    <row r="29" spans="6:15" ht="22.5" customHeight="1" x14ac:dyDescent="0.25">
      <c r="F29" s="447"/>
      <c r="G29" s="447"/>
      <c r="H29" s="447"/>
      <c r="I29" s="447"/>
      <c r="K29" s="456" t="str">
        <f>"Total de Impostos ("&amp;H25&amp;"; "&amp;M9&amp;"; "&amp;N9&amp;")"</f>
        <v>Total de Impostos (IRS; Imp. Selo; IVA)</v>
      </c>
      <c r="L29" s="457"/>
      <c r="M29" s="442">
        <f>IF(N19="","",M27+M19+N19)</f>
        <v>-224.48000000000002</v>
      </c>
      <c r="N29" s="443"/>
    </row>
    <row r="30" spans="6:15" ht="7.5" customHeight="1" x14ac:dyDescent="0.25">
      <c r="F30" s="433" t="s">
        <v>90</v>
      </c>
      <c r="G30" s="434"/>
      <c r="H30" s="424">
        <f ca="1">IF(G11="","",IF(G13="","",IF(I13="","",IF(H25="A PREENCHER","",IF(H27="A PREENCHER","",TIR!G255)))))</f>
        <v>1.404671E-2</v>
      </c>
      <c r="I30" s="425"/>
      <c r="J30" s="98"/>
      <c r="K30" s="95"/>
      <c r="L30" s="67"/>
      <c r="M30" s="67"/>
      <c r="N30" s="71"/>
    </row>
    <row r="31" spans="6:15" ht="22.5" customHeight="1" x14ac:dyDescent="0.25">
      <c r="F31" s="435"/>
      <c r="G31" s="380"/>
      <c r="H31" s="369"/>
      <c r="I31" s="374"/>
      <c r="J31" s="98"/>
      <c r="K31" s="427" t="s">
        <v>86</v>
      </c>
      <c r="L31" s="428"/>
      <c r="M31" s="429">
        <f>IF(G11="","",IF(G13="","",IF(I13="","",IF(H25="A PREENCHER","",IF(H27="A PREENCHER","",L19+M19+N19)))))</f>
        <v>-274.48</v>
      </c>
      <c r="N31" s="430"/>
      <c r="O31" s="293"/>
    </row>
    <row r="32" spans="6:15" ht="7.5" customHeight="1" x14ac:dyDescent="0.25">
      <c r="F32" s="435"/>
      <c r="G32" s="380"/>
      <c r="H32" s="369"/>
      <c r="I32" s="374"/>
      <c r="J32" s="98"/>
      <c r="K32" s="101"/>
      <c r="L32" s="99"/>
      <c r="M32" s="99"/>
      <c r="N32" s="100"/>
    </row>
    <row r="33" spans="6:15" ht="27.75" customHeight="1" x14ac:dyDescent="0.25">
      <c r="F33" s="422" t="s">
        <v>96</v>
      </c>
      <c r="G33" s="423"/>
      <c r="H33" s="369"/>
      <c r="I33" s="374"/>
      <c r="J33" s="98"/>
      <c r="K33" s="404" t="s">
        <v>94</v>
      </c>
      <c r="L33" s="405"/>
      <c r="M33" s="431">
        <f>IF(G11="","",IF(G13="","",IF(I13="","",IF(H25="A PREENCHER","",IF(H27="A PREENCHER","",M25+M27+M31)))))</f>
        <v>175.51999999999998</v>
      </c>
      <c r="N33" s="432"/>
    </row>
    <row r="34" spans="6:15" ht="20.25" customHeight="1" x14ac:dyDescent="0.25">
      <c r="F34" s="438" t="str">
        <f>"Período de Subscrição: Entre as "&amp;'Mota Engil 2024-2029'!E28</f>
        <v>Período de Subscrição: Entre as 08:30h do dia 30/09/2024 ás 15:00h do dia 11/10/2024</v>
      </c>
      <c r="G34" s="438"/>
      <c r="H34" s="438"/>
      <c r="I34" s="438"/>
      <c r="J34" s="438"/>
      <c r="K34" s="438"/>
      <c r="L34" s="438"/>
      <c r="M34" s="438"/>
      <c r="N34" s="438"/>
    </row>
    <row r="35" spans="6:15" x14ac:dyDescent="0.25">
      <c r="F35" s="437" t="s">
        <v>61</v>
      </c>
      <c r="G35" s="437"/>
      <c r="H35" s="437"/>
      <c r="I35" s="437"/>
      <c r="J35" s="437"/>
      <c r="K35" s="437"/>
      <c r="L35" s="437"/>
      <c r="M35" s="437"/>
      <c r="N35" s="437"/>
    </row>
    <row r="36" spans="6:15" ht="7.5" customHeight="1" x14ac:dyDescent="0.25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" customHeight="1" x14ac:dyDescent="0.25">
      <c r="F37" s="361" t="s">
        <v>258</v>
      </c>
      <c r="G37" s="361"/>
      <c r="H37" s="361"/>
      <c r="I37" s="361"/>
      <c r="J37" s="361"/>
      <c r="K37" s="361"/>
      <c r="L37" s="361"/>
      <c r="M37" s="361"/>
      <c r="N37" s="361"/>
      <c r="O37" s="361"/>
    </row>
    <row r="38" spans="6:15" ht="13.9" customHeight="1" x14ac:dyDescent="0.25">
      <c r="F38" s="361"/>
      <c r="G38" s="361"/>
      <c r="H38" s="361"/>
      <c r="I38" s="361"/>
      <c r="J38" s="361"/>
      <c r="K38" s="361"/>
      <c r="L38" s="361"/>
      <c r="M38" s="361"/>
      <c r="N38" s="361"/>
      <c r="O38" s="361"/>
    </row>
    <row r="39" spans="6:15" ht="13.9" customHeight="1" thickBot="1" x14ac:dyDescent="0.3">
      <c r="F39" s="64"/>
      <c r="G39" s="64"/>
      <c r="H39" s="64"/>
      <c r="I39" s="64"/>
    </row>
    <row r="40" spans="6:15" ht="46.9" customHeight="1" x14ac:dyDescent="0.25">
      <c r="F40" s="216" t="s">
        <v>259</v>
      </c>
      <c r="G40" s="440" t="s">
        <v>266</v>
      </c>
      <c r="H40" s="440"/>
      <c r="I40" s="440" t="s">
        <v>261</v>
      </c>
      <c r="J40" s="458"/>
      <c r="K40" s="440" t="s">
        <v>267</v>
      </c>
      <c r="L40" s="440"/>
      <c r="M40" s="440" t="s">
        <v>260</v>
      </c>
      <c r="N40" s="458"/>
    </row>
    <row r="41" spans="6:15" ht="31.15" customHeight="1" thickBot="1" x14ac:dyDescent="0.3">
      <c r="F41" s="217">
        <f>H17</f>
        <v>2500</v>
      </c>
      <c r="G41" s="441">
        <f>IF(ISERROR(L11+M11+L17+N17)=TRUE,"",L11+M11+L17+N17)</f>
        <v>-28.38</v>
      </c>
      <c r="H41" s="441"/>
      <c r="I41" s="459">
        <f>IF(G41="","",G41/F41)</f>
        <v>-1.1351999999999999E-2</v>
      </c>
      <c r="J41" s="460"/>
      <c r="K41" s="441">
        <f>IF(H27="A PREENCHER","",IF(H27="FALSO",(L13+N13),(L13+N13+L15+N15)))</f>
        <v>-246.1</v>
      </c>
      <c r="L41" s="441"/>
      <c r="M41" s="459">
        <f>IF(K41="","",(K41/F41))</f>
        <v>-9.844E-2</v>
      </c>
      <c r="N41" s="460"/>
    </row>
    <row r="42" spans="6:15" ht="13.9" customHeight="1" x14ac:dyDescent="0.25">
      <c r="F42" s="64"/>
      <c r="G42" s="64"/>
      <c r="H42" s="64"/>
      <c r="I42" s="64"/>
    </row>
    <row r="43" spans="6:15" ht="13.9" customHeight="1" x14ac:dyDescent="0.25">
      <c r="F43" s="388" t="s">
        <v>268</v>
      </c>
      <c r="G43" s="388"/>
      <c r="H43" s="388"/>
      <c r="I43" s="388"/>
      <c r="J43" s="388"/>
      <c r="K43" s="388"/>
      <c r="L43" s="388"/>
      <c r="M43" s="388"/>
      <c r="N43" s="388"/>
      <c r="O43" s="388"/>
    </row>
    <row r="44" spans="6:15" ht="13.9" customHeight="1" x14ac:dyDescent="0.25">
      <c r="F44" s="388" t="s">
        <v>269</v>
      </c>
      <c r="G44" s="388"/>
      <c r="H44" s="388"/>
      <c r="I44" s="388"/>
      <c r="J44" s="388"/>
      <c r="K44" s="388"/>
      <c r="L44" s="388"/>
      <c r="M44" s="388"/>
      <c r="N44" s="388"/>
      <c r="O44" s="388"/>
    </row>
    <row r="45" spans="6:15" ht="13.9" customHeight="1" x14ac:dyDescent="0.25">
      <c r="F45" s="64"/>
      <c r="G45" s="64"/>
      <c r="H45" s="64"/>
      <c r="I45" s="64"/>
    </row>
    <row r="46" spans="6:15" ht="13.9" customHeight="1" x14ac:dyDescent="0.25">
      <c r="F46" s="361" t="s">
        <v>256</v>
      </c>
      <c r="G46" s="361"/>
      <c r="H46" s="361"/>
      <c r="I46" s="361"/>
      <c r="J46" s="361"/>
      <c r="K46" s="361"/>
      <c r="L46" s="361"/>
      <c r="M46" s="361"/>
      <c r="N46" s="361"/>
      <c r="O46" s="361"/>
    </row>
    <row r="47" spans="6:15" ht="13.9" customHeight="1" x14ac:dyDescent="0.25">
      <c r="F47" s="361"/>
      <c r="G47" s="361"/>
      <c r="H47" s="361"/>
      <c r="I47" s="361"/>
      <c r="J47" s="361"/>
      <c r="K47" s="361"/>
      <c r="L47" s="361"/>
      <c r="M47" s="361"/>
      <c r="N47" s="361"/>
      <c r="O47" s="361"/>
    </row>
    <row r="48" spans="6:15" ht="13.9" customHeight="1" thickBot="1" x14ac:dyDescent="0.3">
      <c r="F48" s="64"/>
      <c r="G48" s="64"/>
      <c r="H48" s="64"/>
      <c r="I48" s="64"/>
    </row>
    <row r="49" spans="6:14" ht="13.9" customHeight="1" x14ac:dyDescent="0.25">
      <c r="F49" s="376" t="s">
        <v>247</v>
      </c>
      <c r="G49" s="377"/>
      <c r="H49" s="377"/>
      <c r="I49" s="378"/>
      <c r="J49" s="367">
        <f ca="1">IF(G11="","",IF(G13="","",IF(I13="","",IF(H25="A PREENCHER","",IF(H27="A PREENCHER","",TIR!G261)))))</f>
        <v>3.2154599999999998E-2</v>
      </c>
      <c r="K49" s="373"/>
      <c r="L49" s="364" t="s">
        <v>248</v>
      </c>
      <c r="M49" s="367">
        <f ca="1">IF(G11="","",IF(G13="","",IF(I13="","",IF(H25="A PREENCHER","",IF(H27="A PREENCHER","",TIR!G267)))))</f>
        <v>-0.56315084000422955</v>
      </c>
      <c r="N49" s="368"/>
    </row>
    <row r="50" spans="6:14" ht="13.9" customHeight="1" x14ac:dyDescent="0.25">
      <c r="F50" s="379"/>
      <c r="G50" s="380"/>
      <c r="H50" s="380"/>
      <c r="I50" s="381"/>
      <c r="J50" s="369"/>
      <c r="K50" s="374"/>
      <c r="L50" s="365"/>
      <c r="M50" s="369"/>
      <c r="N50" s="370"/>
    </row>
    <row r="51" spans="6:14" ht="13.9" customHeight="1" x14ac:dyDescent="0.25">
      <c r="F51" s="379"/>
      <c r="G51" s="380"/>
      <c r="H51" s="380"/>
      <c r="I51" s="381"/>
      <c r="J51" s="369"/>
      <c r="K51" s="374"/>
      <c r="L51" s="365"/>
      <c r="M51" s="369"/>
      <c r="N51" s="370"/>
    </row>
    <row r="52" spans="6:14" ht="26.25" customHeight="1" thickBot="1" x14ac:dyDescent="0.3">
      <c r="F52" s="382" t="s">
        <v>96</v>
      </c>
      <c r="G52" s="383"/>
      <c r="H52" s="383"/>
      <c r="I52" s="384"/>
      <c r="J52" s="371"/>
      <c r="K52" s="375"/>
      <c r="L52" s="366"/>
      <c r="M52" s="371"/>
      <c r="N52" s="372"/>
    </row>
    <row r="53" spans="6:14" ht="13.9" customHeight="1" x14ac:dyDescent="0.25">
      <c r="F53" s="64"/>
      <c r="G53" s="64"/>
      <c r="H53" s="64"/>
      <c r="I53" s="64"/>
    </row>
    <row r="54" spans="6:14" ht="15.6" customHeight="1" x14ac:dyDescent="0.25">
      <c r="F54" s="439">
        <f ca="1">IF(TODAY()&lt;'Mota Engil 2024-2029'!B25,'Mota Engil 2024-2029'!B25,TODAY())</f>
        <v>45565</v>
      </c>
      <c r="G54" s="439"/>
      <c r="H54" s="439"/>
      <c r="I54" s="439"/>
      <c r="J54" s="439"/>
      <c r="K54" s="439"/>
      <c r="L54" s="439"/>
      <c r="M54" s="439"/>
      <c r="N54" s="439"/>
    </row>
    <row r="55" spans="6:14" ht="7.5" customHeight="1" x14ac:dyDescent="0.25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75" x14ac:dyDescent="0.25">
      <c r="L56" s="406"/>
      <c r="M56" s="406"/>
    </row>
    <row r="57" spans="6:14" ht="15" customHeight="1" x14ac:dyDescent="0.25">
      <c r="G57" s="406"/>
      <c r="H57" s="406"/>
      <c r="L57" s="64"/>
      <c r="M57" s="64"/>
    </row>
    <row r="58" spans="6:14" x14ac:dyDescent="0.25">
      <c r="G58" s="64"/>
      <c r="L58" s="64"/>
      <c r="M58" s="64"/>
    </row>
    <row r="59" spans="6:14" ht="7.5" customHeight="1" x14ac:dyDescent="0.25">
      <c r="G59" s="64"/>
      <c r="L59" s="64"/>
      <c r="M59" s="64"/>
    </row>
    <row r="60" spans="6:14" ht="15" customHeight="1" x14ac:dyDescent="0.25">
      <c r="G60" s="426"/>
      <c r="H60" s="426"/>
      <c r="K60" s="436"/>
      <c r="L60" s="436"/>
      <c r="M60" s="436"/>
      <c r="N60" s="436"/>
    </row>
    <row r="61" spans="6:14" ht="25.5" x14ac:dyDescent="0.35">
      <c r="G61" s="64"/>
      <c r="K61" s="385"/>
      <c r="L61" s="385"/>
      <c r="M61" s="385"/>
      <c r="N61" s="385"/>
    </row>
    <row r="62" spans="6:14" x14ac:dyDescent="0.25">
      <c r="L62" s="386"/>
      <c r="M62" s="386"/>
    </row>
    <row r="63" spans="6:14" x14ac:dyDescent="0.25">
      <c r="F63" s="403"/>
      <c r="G63" s="403"/>
      <c r="H63" s="403"/>
      <c r="I63" s="403"/>
      <c r="J63" s="403"/>
      <c r="K63" s="403"/>
      <c r="L63" s="403"/>
      <c r="M63" s="403"/>
      <c r="N63" s="403"/>
    </row>
    <row r="65" spans="6:15" ht="31.5" customHeight="1" x14ac:dyDescent="0.25">
      <c r="F65" s="1"/>
      <c r="G65" s="1"/>
      <c r="H65" s="1"/>
      <c r="I65" s="1"/>
    </row>
    <row r="66" spans="6:15" ht="24" customHeight="1" x14ac:dyDescent="0.25">
      <c r="F66" s="1"/>
      <c r="G66" s="1"/>
      <c r="H66" s="1"/>
      <c r="I66" s="1"/>
    </row>
    <row r="67" spans="6:15" ht="7.5" customHeight="1" x14ac:dyDescent="0.25"/>
    <row r="68" spans="6:15" ht="27" customHeight="1" x14ac:dyDescent="0.25">
      <c r="F68" s="1"/>
      <c r="G68" s="1"/>
      <c r="H68" s="1"/>
      <c r="I68" s="1"/>
      <c r="J68" s="1"/>
    </row>
    <row r="69" spans="6:15" ht="15" customHeight="1" x14ac:dyDescent="0.25">
      <c r="F69" s="1"/>
      <c r="G69" s="1"/>
      <c r="H69" s="1"/>
      <c r="I69" s="1"/>
      <c r="J69" s="1"/>
    </row>
    <row r="70" spans="6:15" ht="13.9" customHeight="1" x14ac:dyDescent="0.25">
      <c r="F70" s="64"/>
      <c r="G70" s="64"/>
      <c r="H70" s="64"/>
      <c r="I70" s="64"/>
    </row>
    <row r="71" spans="6:15" ht="13.9" customHeight="1" x14ac:dyDescent="0.25"/>
    <row r="72" spans="6:15" ht="13.9" customHeight="1" x14ac:dyDescent="0.25">
      <c r="F72" s="361" t="s">
        <v>257</v>
      </c>
      <c r="G72" s="361"/>
      <c r="H72" s="361"/>
      <c r="I72" s="361"/>
      <c r="J72" s="361"/>
      <c r="K72" s="361"/>
      <c r="L72" s="361"/>
      <c r="M72" s="361"/>
      <c r="N72" s="361"/>
      <c r="O72" s="361"/>
    </row>
    <row r="73" spans="6:15" ht="13.9" customHeight="1" x14ac:dyDescent="0.25">
      <c r="F73" s="361"/>
      <c r="G73" s="361"/>
      <c r="H73" s="361"/>
      <c r="I73" s="361"/>
      <c r="J73" s="361"/>
      <c r="K73" s="361"/>
      <c r="L73" s="361"/>
      <c r="M73" s="361"/>
      <c r="N73" s="361"/>
      <c r="O73" s="361"/>
    </row>
    <row r="74" spans="6:15" ht="13.9" customHeight="1" x14ac:dyDescent="0.25"/>
    <row r="75" spans="6:15" ht="13.9" customHeight="1" x14ac:dyDescent="0.25">
      <c r="F75" s="358" t="s">
        <v>62</v>
      </c>
      <c r="G75" s="363" t="s">
        <v>252</v>
      </c>
      <c r="H75" s="363"/>
      <c r="I75" s="363"/>
      <c r="J75" s="362" t="s">
        <v>39</v>
      </c>
      <c r="K75" s="362"/>
      <c r="L75" s="362"/>
      <c r="M75" s="362"/>
      <c r="N75" s="359" t="s">
        <v>77</v>
      </c>
      <c r="O75" s="359"/>
    </row>
    <row r="76" spans="6:15" ht="13.9" customHeight="1" x14ac:dyDescent="0.25">
      <c r="F76" s="358"/>
      <c r="G76" s="213" t="s">
        <v>41</v>
      </c>
      <c r="H76" s="213" t="str">
        <f>TIR!F202</f>
        <v>Comissão</v>
      </c>
      <c r="I76" s="213" t="s">
        <v>250</v>
      </c>
      <c r="J76" s="211" t="s">
        <v>254</v>
      </c>
      <c r="K76" s="212" t="s">
        <v>255</v>
      </c>
      <c r="L76" s="212" t="str">
        <f>TIR!J202</f>
        <v>Comissão</v>
      </c>
      <c r="M76" s="212" t="str">
        <f>TIR!K202</f>
        <v>IVA</v>
      </c>
      <c r="N76" s="214" t="s">
        <v>42</v>
      </c>
      <c r="O76" s="214" t="str">
        <f>TIR!M202</f>
        <v>IVA</v>
      </c>
    </row>
    <row r="77" spans="6:15" ht="13.9" customHeight="1" x14ac:dyDescent="0.25">
      <c r="F77" s="202">
        <f>TIR!D203</f>
        <v>45581</v>
      </c>
      <c r="G77" s="203">
        <f>TIR!U203</f>
        <v>-2500</v>
      </c>
      <c r="H77" s="203">
        <f>IF(TIR!V203="","",ROUND(TIR!V203,2))</f>
        <v>-12.5</v>
      </c>
      <c r="I77" s="203">
        <f>IF(TIR!W203="","",ROUND(TIR!W203,2))</f>
        <v>-0.5</v>
      </c>
      <c r="J77" s="204">
        <f>TIR!H203</f>
        <v>0</v>
      </c>
      <c r="K77" s="204">
        <f>IF(TIR!I203="","",ROUND(TIR!I203,2))</f>
        <v>0</v>
      </c>
      <c r="L77" s="204">
        <f>TIR!J203</f>
        <v>0</v>
      </c>
      <c r="M77" s="204">
        <f>IF(TIR!K203="","",ROUND(TIR!K203,2))</f>
        <v>0</v>
      </c>
      <c r="N77" s="215">
        <f>TIR!L203</f>
        <v>0</v>
      </c>
      <c r="O77" s="215">
        <f>IF(TIR!M203="","",ROUND(TIR!M203,2))</f>
        <v>0</v>
      </c>
    </row>
    <row r="78" spans="6:15" ht="13.9" customHeight="1" x14ac:dyDescent="0.25">
      <c r="F78" s="202">
        <f>TIR!D204</f>
        <v>45658</v>
      </c>
      <c r="G78" s="203">
        <f>TIR!U204</f>
        <v>0</v>
      </c>
      <c r="H78" s="203">
        <f>IF(TIR!V204="","",ROUND(TIR!V204,2))</f>
        <v>0</v>
      </c>
      <c r="I78" s="203">
        <f>IF(TIR!W204="","",ROUND(TIR!W204,2))</f>
        <v>0</v>
      </c>
      <c r="J78" s="204">
        <f>TIR!H204</f>
        <v>0</v>
      </c>
      <c r="K78" s="204">
        <f>IF(TIR!I204="","",ROUND(TIR!I204,2))</f>
        <v>0</v>
      </c>
      <c r="L78" s="204">
        <f>TIR!J204</f>
        <v>0</v>
      </c>
      <c r="M78" s="204">
        <f>IF(TIR!K204="","",ROUND(TIR!K204,2))</f>
        <v>0</v>
      </c>
      <c r="N78" s="215">
        <f>TIR!L204</f>
        <v>-7.5</v>
      </c>
      <c r="O78" s="215">
        <f>IF(TIR!M204="","",ROUND(TIR!M204,2))</f>
        <v>-1.73</v>
      </c>
    </row>
    <row r="79" spans="6:15" ht="13.9" customHeight="1" x14ac:dyDescent="0.25">
      <c r="F79" s="202">
        <f>TIR!D205</f>
        <v>45748</v>
      </c>
      <c r="G79" s="203">
        <f>TIR!U205</f>
        <v>0</v>
      </c>
      <c r="H79" s="203">
        <f>IF(TIR!V205="","",ROUND(TIR!V205,2))</f>
        <v>0</v>
      </c>
      <c r="I79" s="203">
        <f>IF(TIR!W205="","",ROUND(TIR!W205,2))</f>
        <v>0</v>
      </c>
      <c r="J79" s="204">
        <f>TIR!H205</f>
        <v>0</v>
      </c>
      <c r="K79" s="204">
        <f>IF(TIR!I205="","",ROUND(TIR!I205,2))</f>
        <v>0</v>
      </c>
      <c r="L79" s="204">
        <f>TIR!J205</f>
        <v>0</v>
      </c>
      <c r="M79" s="204">
        <f>IF(TIR!K205="","",ROUND(TIR!K205,2))</f>
        <v>0</v>
      </c>
      <c r="N79" s="215">
        <f>TIR!L205</f>
        <v>-7.5</v>
      </c>
      <c r="O79" s="215">
        <f>IF(TIR!M205="","",ROUND(TIR!M205,2))</f>
        <v>-1.73</v>
      </c>
    </row>
    <row r="80" spans="6:15" ht="13.9" customHeight="1" x14ac:dyDescent="0.25">
      <c r="F80" s="202">
        <f>TIR!D206</f>
        <v>45763</v>
      </c>
      <c r="G80" s="203">
        <f>TIR!U206</f>
        <v>0</v>
      </c>
      <c r="H80" s="203">
        <f>IF(TIR!V206="","",ROUND(TIR!V206,2))</f>
        <v>0</v>
      </c>
      <c r="I80" s="203">
        <f>IF(TIR!W206="","",ROUND(TIR!W206,2))</f>
        <v>0</v>
      </c>
      <c r="J80" s="204">
        <f>TIR!H206</f>
        <v>62.5</v>
      </c>
      <c r="K80" s="204">
        <f>IF(TIR!I206="","",ROUND(TIR!I206,2))</f>
        <v>-17.5</v>
      </c>
      <c r="L80" s="204">
        <f>TIR!J206</f>
        <v>-5</v>
      </c>
      <c r="M80" s="204">
        <f>IF(TIR!K206="","",ROUND(TIR!K206,2))</f>
        <v>-1.1499999999999999</v>
      </c>
      <c r="N80" s="215">
        <f>TIR!L206</f>
        <v>0</v>
      </c>
      <c r="O80" s="215">
        <f>IF(TIR!M206="","",ROUND(TIR!M206,2))</f>
        <v>0</v>
      </c>
    </row>
    <row r="81" spans="6:15" ht="13.9" customHeight="1" x14ac:dyDescent="0.25">
      <c r="F81" s="202">
        <f>TIR!D207</f>
        <v>45839</v>
      </c>
      <c r="G81" s="203">
        <f>TIR!U207</f>
        <v>0</v>
      </c>
      <c r="H81" s="203">
        <f>IF(TIR!V207="","",ROUND(TIR!V207,2))</f>
        <v>0</v>
      </c>
      <c r="I81" s="203">
        <f>IF(TIR!W207="","",ROUND(TIR!W207,2))</f>
        <v>0</v>
      </c>
      <c r="J81" s="204">
        <f>TIR!H207</f>
        <v>0</v>
      </c>
      <c r="K81" s="204">
        <f>IF(TIR!I207="","",ROUND(TIR!I207,2))</f>
        <v>0</v>
      </c>
      <c r="L81" s="204">
        <f>TIR!J207</f>
        <v>0</v>
      </c>
      <c r="M81" s="204">
        <f>IF(TIR!K207="","",ROUND(TIR!K207,2))</f>
        <v>0</v>
      </c>
      <c r="N81" s="215">
        <f>TIR!L207</f>
        <v>-7.5</v>
      </c>
      <c r="O81" s="215">
        <f>IF(TIR!M207="","",ROUND(TIR!M207,2))</f>
        <v>-1.73</v>
      </c>
    </row>
    <row r="82" spans="6:15" ht="13.9" customHeight="1" x14ac:dyDescent="0.25">
      <c r="F82" s="202">
        <f>TIR!D208</f>
        <v>45931</v>
      </c>
      <c r="G82" s="203">
        <f>TIR!U208</f>
        <v>0</v>
      </c>
      <c r="H82" s="203">
        <f>IF(TIR!V208="","",ROUND(TIR!V208,2))</f>
        <v>0</v>
      </c>
      <c r="I82" s="203">
        <f>IF(TIR!W208="","",ROUND(TIR!W208,2))</f>
        <v>0</v>
      </c>
      <c r="J82" s="204">
        <f>TIR!H208</f>
        <v>0</v>
      </c>
      <c r="K82" s="204">
        <f>IF(TIR!I208="","",ROUND(TIR!I208,2))</f>
        <v>0</v>
      </c>
      <c r="L82" s="204">
        <f>TIR!J208</f>
        <v>0</v>
      </c>
      <c r="M82" s="204">
        <f>IF(TIR!K208="","",ROUND(TIR!K208,2))</f>
        <v>0</v>
      </c>
      <c r="N82" s="215">
        <f>TIR!L208</f>
        <v>-7.5</v>
      </c>
      <c r="O82" s="215">
        <f>IF(TIR!M208="","",ROUND(TIR!M208,2))</f>
        <v>-1.73</v>
      </c>
    </row>
    <row r="83" spans="6:15" ht="13.9" customHeight="1" x14ac:dyDescent="0.25">
      <c r="F83" s="202">
        <f>TIR!D209</f>
        <v>45946</v>
      </c>
      <c r="G83" s="203">
        <f>TIR!U209</f>
        <v>0</v>
      </c>
      <c r="H83" s="203">
        <f>IF(TIR!V209="","",ROUND(TIR!V209,2))</f>
        <v>0</v>
      </c>
      <c r="I83" s="203">
        <f>IF(TIR!W209="","",ROUND(TIR!W209,2))</f>
        <v>0</v>
      </c>
      <c r="J83" s="204">
        <f>TIR!H209</f>
        <v>62.5</v>
      </c>
      <c r="K83" s="204">
        <f>IF(TIR!I209="","",ROUND(TIR!I209,2))</f>
        <v>-17.5</v>
      </c>
      <c r="L83" s="204">
        <f>TIR!J209</f>
        <v>-5</v>
      </c>
      <c r="M83" s="204">
        <f>IF(TIR!K209="","",ROUND(TIR!K209,2))</f>
        <v>-1.1499999999999999</v>
      </c>
      <c r="N83" s="215">
        <f>TIR!L209</f>
        <v>0</v>
      </c>
      <c r="O83" s="215">
        <f>IF(TIR!M209="","",ROUND(TIR!M209,2))</f>
        <v>0</v>
      </c>
    </row>
    <row r="84" spans="6:15" ht="13.9" customHeight="1" x14ac:dyDescent="0.25">
      <c r="F84" s="202">
        <f>TIR!D210</f>
        <v>46023</v>
      </c>
      <c r="G84" s="203">
        <f>TIR!U210</f>
        <v>0</v>
      </c>
      <c r="H84" s="203">
        <f>IF(TIR!V210="","",ROUND(TIR!V210,2))</f>
        <v>0</v>
      </c>
      <c r="I84" s="203">
        <f>IF(TIR!W210="","",ROUND(TIR!W210,2))</f>
        <v>0</v>
      </c>
      <c r="J84" s="204">
        <f>TIR!H210</f>
        <v>0</v>
      </c>
      <c r="K84" s="204">
        <f>IF(TIR!I210="","",ROUND(TIR!I210,2))</f>
        <v>0</v>
      </c>
      <c r="L84" s="204">
        <f>TIR!J210</f>
        <v>0</v>
      </c>
      <c r="M84" s="204">
        <f>IF(TIR!K210="","",ROUND(TIR!K210,2))</f>
        <v>0</v>
      </c>
      <c r="N84" s="215">
        <f>TIR!L210</f>
        <v>-7.5</v>
      </c>
      <c r="O84" s="215">
        <f>IF(TIR!M210="","",ROUND(TIR!M210,2))</f>
        <v>-1.73</v>
      </c>
    </row>
    <row r="85" spans="6:15" ht="13.9" customHeight="1" x14ac:dyDescent="0.25">
      <c r="F85" s="202">
        <f>TIR!D211</f>
        <v>46113</v>
      </c>
      <c r="G85" s="203">
        <f>TIR!U211</f>
        <v>0</v>
      </c>
      <c r="H85" s="203">
        <f>IF(TIR!V211="","",ROUND(TIR!V211,2))</f>
        <v>0</v>
      </c>
      <c r="I85" s="203">
        <f>IF(TIR!W211="","",ROUND(TIR!W211,2))</f>
        <v>0</v>
      </c>
      <c r="J85" s="204">
        <f>TIR!H211</f>
        <v>0</v>
      </c>
      <c r="K85" s="204">
        <f>IF(TIR!I211="","",ROUND(TIR!I211,2))</f>
        <v>0</v>
      </c>
      <c r="L85" s="204">
        <f>TIR!J211</f>
        <v>0</v>
      </c>
      <c r="M85" s="204">
        <f>IF(TIR!K211="","",ROUND(TIR!K211,2))</f>
        <v>0</v>
      </c>
      <c r="N85" s="215">
        <f>TIR!L211</f>
        <v>-7.5</v>
      </c>
      <c r="O85" s="215">
        <f>IF(TIR!M211="","",ROUND(TIR!M211,2))</f>
        <v>-1.73</v>
      </c>
    </row>
    <row r="86" spans="6:15" ht="13.9" customHeight="1" x14ac:dyDescent="0.25">
      <c r="F86" s="202">
        <f>TIR!D212</f>
        <v>46128</v>
      </c>
      <c r="G86" s="203">
        <f>TIR!U212</f>
        <v>0</v>
      </c>
      <c r="H86" s="203">
        <f>IF(TIR!V212="","",ROUND(TIR!V212,2))</f>
        <v>0</v>
      </c>
      <c r="I86" s="203">
        <f>IF(TIR!W212="","",ROUND(TIR!W212,2))</f>
        <v>0</v>
      </c>
      <c r="J86" s="204">
        <f>TIR!H212</f>
        <v>62.5</v>
      </c>
      <c r="K86" s="204">
        <f>IF(TIR!I212="","",ROUND(TIR!I212,2))</f>
        <v>-17.5</v>
      </c>
      <c r="L86" s="204">
        <f>TIR!J212</f>
        <v>-5</v>
      </c>
      <c r="M86" s="204">
        <f>IF(TIR!K212="","",ROUND(TIR!K212,2))</f>
        <v>-1.1499999999999999</v>
      </c>
      <c r="N86" s="215">
        <f>TIR!L212</f>
        <v>0</v>
      </c>
      <c r="O86" s="215">
        <f>IF(TIR!M212="","",ROUND(TIR!M212,2))</f>
        <v>0</v>
      </c>
    </row>
    <row r="87" spans="6:15" ht="13.9" customHeight="1" x14ac:dyDescent="0.25">
      <c r="F87" s="202">
        <f>TIR!D213</f>
        <v>46204</v>
      </c>
      <c r="G87" s="203">
        <f>TIR!U213</f>
        <v>0</v>
      </c>
      <c r="H87" s="203">
        <f>IF(TIR!V213="","",ROUND(TIR!V213,2))</f>
        <v>0</v>
      </c>
      <c r="I87" s="203">
        <f>IF(TIR!W213="","",ROUND(TIR!W213,2))</f>
        <v>0</v>
      </c>
      <c r="J87" s="204">
        <f>TIR!H213</f>
        <v>0</v>
      </c>
      <c r="K87" s="204">
        <f>IF(TIR!I213="","",ROUND(TIR!I213,2))</f>
        <v>0</v>
      </c>
      <c r="L87" s="204">
        <f>TIR!J213</f>
        <v>0</v>
      </c>
      <c r="M87" s="204">
        <f>IF(TIR!K213="","",ROUND(TIR!K213,2))</f>
        <v>0</v>
      </c>
      <c r="N87" s="215">
        <f>TIR!L213</f>
        <v>-7.5</v>
      </c>
      <c r="O87" s="215">
        <f>IF(TIR!M213="","",ROUND(TIR!M213,2))</f>
        <v>-1.73</v>
      </c>
    </row>
    <row r="88" spans="6:15" ht="13.9" customHeight="1" x14ac:dyDescent="0.25">
      <c r="F88" s="202">
        <f>TIR!D214</f>
        <v>46296</v>
      </c>
      <c r="G88" s="203">
        <f>TIR!U214</f>
        <v>0</v>
      </c>
      <c r="H88" s="203">
        <f>IF(TIR!V214="","",ROUND(TIR!V214,2))</f>
        <v>0</v>
      </c>
      <c r="I88" s="203">
        <f>IF(TIR!W214="","",ROUND(TIR!W214,2))</f>
        <v>0</v>
      </c>
      <c r="J88" s="204">
        <f>TIR!H214</f>
        <v>0</v>
      </c>
      <c r="K88" s="204">
        <f>IF(TIR!I214="","",ROUND(TIR!I214,2))</f>
        <v>0</v>
      </c>
      <c r="L88" s="204">
        <f>TIR!J214</f>
        <v>0</v>
      </c>
      <c r="M88" s="204">
        <f>IF(TIR!K214="","",ROUND(TIR!K214,2))</f>
        <v>0</v>
      </c>
      <c r="N88" s="215">
        <f>TIR!L214</f>
        <v>-7.5</v>
      </c>
      <c r="O88" s="215">
        <f>IF(TIR!M214="","",ROUND(TIR!M214,2))</f>
        <v>-1.73</v>
      </c>
    </row>
    <row r="89" spans="6:15" ht="13.9" customHeight="1" x14ac:dyDescent="0.25">
      <c r="F89" s="202">
        <f>TIR!D215</f>
        <v>46311</v>
      </c>
      <c r="G89" s="203">
        <f>TIR!U215</f>
        <v>0</v>
      </c>
      <c r="H89" s="203">
        <f>IF(TIR!V215="","",ROUND(TIR!V215,2))</f>
        <v>0</v>
      </c>
      <c r="I89" s="203">
        <f>IF(TIR!W215="","",ROUND(TIR!W215,2))</f>
        <v>0</v>
      </c>
      <c r="J89" s="204">
        <f>TIR!H215</f>
        <v>62.5</v>
      </c>
      <c r="K89" s="204">
        <f>IF(TIR!I215="","",ROUND(TIR!I215,2))</f>
        <v>-17.5</v>
      </c>
      <c r="L89" s="204">
        <f>TIR!J215</f>
        <v>-5</v>
      </c>
      <c r="M89" s="204">
        <f>IF(TIR!K215="","",ROUND(TIR!K215,2))</f>
        <v>-1.1499999999999999</v>
      </c>
      <c r="N89" s="215">
        <f>TIR!L215</f>
        <v>0</v>
      </c>
      <c r="O89" s="215">
        <f>IF(TIR!M215="","",ROUND(TIR!M215,2))</f>
        <v>0</v>
      </c>
    </row>
    <row r="90" spans="6:15" ht="13.9" customHeight="1" x14ac:dyDescent="0.25">
      <c r="F90" s="202">
        <f>TIR!D216</f>
        <v>46388</v>
      </c>
      <c r="G90" s="203">
        <f>TIR!U216</f>
        <v>0</v>
      </c>
      <c r="H90" s="203">
        <f>IF(TIR!V216="","",ROUND(TIR!V216,2))</f>
        <v>0</v>
      </c>
      <c r="I90" s="203">
        <f>IF(TIR!W216="","",ROUND(TIR!W216,2))</f>
        <v>0</v>
      </c>
      <c r="J90" s="204">
        <f>TIR!H216</f>
        <v>0</v>
      </c>
      <c r="K90" s="204">
        <f>IF(TIR!I216="","",ROUND(TIR!I216,2))</f>
        <v>0</v>
      </c>
      <c r="L90" s="204">
        <f>TIR!J216</f>
        <v>0</v>
      </c>
      <c r="M90" s="204">
        <f>IF(TIR!K216="","",ROUND(TIR!K216,2))</f>
        <v>0</v>
      </c>
      <c r="N90" s="215">
        <f>TIR!L216</f>
        <v>-7.5</v>
      </c>
      <c r="O90" s="215">
        <f>IF(TIR!M216="","",ROUND(TIR!M216,2))</f>
        <v>-1.73</v>
      </c>
    </row>
    <row r="91" spans="6:15" ht="13.9" customHeight="1" x14ac:dyDescent="0.25">
      <c r="F91" s="202">
        <f>TIR!D217</f>
        <v>46478</v>
      </c>
      <c r="G91" s="203">
        <f>TIR!U217</f>
        <v>0</v>
      </c>
      <c r="H91" s="203">
        <f>IF(TIR!V217="","",ROUND(TIR!V217,2))</f>
        <v>0</v>
      </c>
      <c r="I91" s="203">
        <f>IF(TIR!W217="","",ROUND(TIR!W217,2))</f>
        <v>0</v>
      </c>
      <c r="J91" s="204">
        <f>TIR!H217</f>
        <v>0</v>
      </c>
      <c r="K91" s="204">
        <f>IF(TIR!I217="","",ROUND(TIR!I217,2))</f>
        <v>0</v>
      </c>
      <c r="L91" s="204">
        <f>TIR!J217</f>
        <v>0</v>
      </c>
      <c r="M91" s="204">
        <f>IF(TIR!K217="","",ROUND(TIR!K217,2))</f>
        <v>0</v>
      </c>
      <c r="N91" s="215">
        <f>TIR!L217</f>
        <v>-7.5</v>
      </c>
      <c r="O91" s="215">
        <f>IF(TIR!M217="","",ROUND(TIR!M217,2))</f>
        <v>-1.73</v>
      </c>
    </row>
    <row r="92" spans="6:15" ht="13.9" customHeight="1" x14ac:dyDescent="0.25">
      <c r="F92" s="202">
        <f>TIR!D218</f>
        <v>46493</v>
      </c>
      <c r="G92" s="203">
        <f>TIR!U218</f>
        <v>0</v>
      </c>
      <c r="H92" s="203">
        <f>IF(TIR!V218="","",ROUND(TIR!V218,2))</f>
        <v>0</v>
      </c>
      <c r="I92" s="203">
        <f>IF(TIR!W218="","",ROUND(TIR!W218,2))</f>
        <v>0</v>
      </c>
      <c r="J92" s="204">
        <f>TIR!H218</f>
        <v>62.5</v>
      </c>
      <c r="K92" s="204">
        <f>IF(TIR!I218="","",ROUND(TIR!I218,2))</f>
        <v>-17.5</v>
      </c>
      <c r="L92" s="204">
        <f>TIR!J218</f>
        <v>-5</v>
      </c>
      <c r="M92" s="204">
        <f>IF(TIR!K218="","",ROUND(TIR!K218,2))</f>
        <v>-1.1499999999999999</v>
      </c>
      <c r="N92" s="215">
        <f>TIR!L218</f>
        <v>0</v>
      </c>
      <c r="O92" s="215">
        <f>IF(TIR!M218="","",ROUND(TIR!M218,2))</f>
        <v>0</v>
      </c>
    </row>
    <row r="93" spans="6:15" ht="13.9" customHeight="1" x14ac:dyDescent="0.25">
      <c r="F93" s="202">
        <f>TIR!D219</f>
        <v>46569</v>
      </c>
      <c r="G93" s="203">
        <f>TIR!U219</f>
        <v>0</v>
      </c>
      <c r="H93" s="203">
        <f>IF(TIR!V219="","",ROUND(TIR!V219,2))</f>
        <v>0</v>
      </c>
      <c r="I93" s="203">
        <f>IF(TIR!W219="","",ROUND(TIR!W219,2))</f>
        <v>0</v>
      </c>
      <c r="J93" s="204">
        <f>TIR!H219</f>
        <v>0</v>
      </c>
      <c r="K93" s="204">
        <f>IF(TIR!I219="","",ROUND(TIR!I219,2))</f>
        <v>0</v>
      </c>
      <c r="L93" s="204">
        <f>TIR!J219</f>
        <v>0</v>
      </c>
      <c r="M93" s="204">
        <f>IF(TIR!K219="","",ROUND(TIR!K219,2))</f>
        <v>0</v>
      </c>
      <c r="N93" s="215">
        <f>TIR!L219</f>
        <v>-7.5</v>
      </c>
      <c r="O93" s="215">
        <f>IF(TIR!M219="","",ROUND(TIR!M219,2))</f>
        <v>-1.73</v>
      </c>
    </row>
    <row r="94" spans="6:15" ht="13.9" customHeight="1" x14ac:dyDescent="0.25">
      <c r="F94" s="202">
        <f>TIR!D220</f>
        <v>46661</v>
      </c>
      <c r="G94" s="203">
        <f>TIR!U220</f>
        <v>0</v>
      </c>
      <c r="H94" s="203">
        <f>IF(TIR!V220="","",ROUND(TIR!V220,2))</f>
        <v>0</v>
      </c>
      <c r="I94" s="203">
        <f>IF(TIR!W220="","",ROUND(TIR!W220,2))</f>
        <v>0</v>
      </c>
      <c r="J94" s="204">
        <f>TIR!H220</f>
        <v>0</v>
      </c>
      <c r="K94" s="204">
        <f>IF(TIR!I220="","",ROUND(TIR!I220,2))</f>
        <v>0</v>
      </c>
      <c r="L94" s="204">
        <f>TIR!J220</f>
        <v>0</v>
      </c>
      <c r="M94" s="204">
        <f>IF(TIR!K220="","",ROUND(TIR!K220,2))</f>
        <v>0</v>
      </c>
      <c r="N94" s="215">
        <f>TIR!L220</f>
        <v>-7.5</v>
      </c>
      <c r="O94" s="215">
        <f>IF(TIR!M220="","",ROUND(TIR!M220,2))</f>
        <v>-1.73</v>
      </c>
    </row>
    <row r="95" spans="6:15" ht="13.9" customHeight="1" x14ac:dyDescent="0.25">
      <c r="F95" s="202">
        <f>TIR!D221</f>
        <v>46676</v>
      </c>
      <c r="G95" s="203">
        <f>TIR!U221</f>
        <v>0</v>
      </c>
      <c r="H95" s="203">
        <f>IF(TIR!V221="","",ROUND(TIR!V221,2))</f>
        <v>0</v>
      </c>
      <c r="I95" s="203">
        <f>IF(TIR!W221="","",ROUND(TIR!W221,2))</f>
        <v>0</v>
      </c>
      <c r="J95" s="204">
        <f>TIR!H221</f>
        <v>62.5</v>
      </c>
      <c r="K95" s="204">
        <f>IF(TIR!I221="","",ROUND(TIR!I221,2))</f>
        <v>-17.5</v>
      </c>
      <c r="L95" s="204">
        <f>TIR!J221</f>
        <v>-5</v>
      </c>
      <c r="M95" s="204">
        <f>IF(TIR!K221="","",ROUND(TIR!K221,2))</f>
        <v>-1.1499999999999999</v>
      </c>
      <c r="N95" s="215">
        <f>TIR!L221</f>
        <v>0</v>
      </c>
      <c r="O95" s="215">
        <f>IF(TIR!M221="","",ROUND(TIR!M221,2))</f>
        <v>0</v>
      </c>
    </row>
    <row r="96" spans="6:15" ht="13.9" customHeight="1" x14ac:dyDescent="0.25">
      <c r="F96" s="202">
        <f>TIR!D222</f>
        <v>46753</v>
      </c>
      <c r="G96" s="203">
        <f>TIR!U222</f>
        <v>0</v>
      </c>
      <c r="H96" s="203">
        <f>IF(TIR!V222="","",ROUND(TIR!V222,2))</f>
        <v>0</v>
      </c>
      <c r="I96" s="203">
        <f>IF(TIR!W222="","",ROUND(TIR!W222,2))</f>
        <v>0</v>
      </c>
      <c r="J96" s="204">
        <f>TIR!H222</f>
        <v>0</v>
      </c>
      <c r="K96" s="204">
        <f>IF(TIR!I222="","",ROUND(TIR!I222,2))</f>
        <v>0</v>
      </c>
      <c r="L96" s="204">
        <f>TIR!J222</f>
        <v>0</v>
      </c>
      <c r="M96" s="204">
        <f>IF(TIR!K222="","",ROUND(TIR!K222,2))</f>
        <v>0</v>
      </c>
      <c r="N96" s="215">
        <f>TIR!L222</f>
        <v>-7.5</v>
      </c>
      <c r="O96" s="215">
        <f>IF(TIR!M222="","",ROUND(TIR!M222,2))</f>
        <v>-1.73</v>
      </c>
    </row>
    <row r="97" spans="6:15" ht="13.9" customHeight="1" x14ac:dyDescent="0.25">
      <c r="F97" s="202">
        <f>TIR!D223</f>
        <v>46844</v>
      </c>
      <c r="G97" s="203">
        <f>TIR!U223</f>
        <v>0</v>
      </c>
      <c r="H97" s="203">
        <f>IF(TIR!V223="","",ROUND(TIR!V223,2))</f>
        <v>0</v>
      </c>
      <c r="I97" s="203">
        <f>IF(TIR!W223="","",ROUND(TIR!W223,2))</f>
        <v>0</v>
      </c>
      <c r="J97" s="204">
        <f>TIR!H223</f>
        <v>0</v>
      </c>
      <c r="K97" s="204">
        <f>IF(TIR!I223="","",ROUND(TIR!I223,2))</f>
        <v>0</v>
      </c>
      <c r="L97" s="204">
        <f>TIR!J223</f>
        <v>0</v>
      </c>
      <c r="M97" s="204">
        <f>IF(TIR!K223="","",ROUND(TIR!K223,2))</f>
        <v>0</v>
      </c>
      <c r="N97" s="215">
        <f>TIR!L223</f>
        <v>-7.5</v>
      </c>
      <c r="O97" s="215">
        <f>IF(TIR!M223="","",ROUND(TIR!M223,2))</f>
        <v>-1.73</v>
      </c>
    </row>
    <row r="98" spans="6:15" ht="13.9" customHeight="1" x14ac:dyDescent="0.25">
      <c r="F98" s="202">
        <f>TIR!D224</f>
        <v>46859</v>
      </c>
      <c r="G98" s="203">
        <f>TIR!U224</f>
        <v>0</v>
      </c>
      <c r="H98" s="203">
        <f>IF(TIR!V224="","",ROUND(TIR!V224,2))</f>
        <v>0</v>
      </c>
      <c r="I98" s="203">
        <f>IF(TIR!W224="","",ROUND(TIR!W224,2))</f>
        <v>0</v>
      </c>
      <c r="J98" s="204">
        <f>TIR!H224</f>
        <v>62.5</v>
      </c>
      <c r="K98" s="204">
        <f>IF(TIR!I224="","",ROUND(TIR!I224,2))</f>
        <v>-17.5</v>
      </c>
      <c r="L98" s="204">
        <f>TIR!J224</f>
        <v>-5</v>
      </c>
      <c r="M98" s="204">
        <f>IF(TIR!K224="","",ROUND(TIR!K224,2))</f>
        <v>-1.1499999999999999</v>
      </c>
      <c r="N98" s="215">
        <f>TIR!L224</f>
        <v>0</v>
      </c>
      <c r="O98" s="215">
        <f>IF(TIR!M224="","",ROUND(TIR!M224,2))</f>
        <v>0</v>
      </c>
    </row>
    <row r="99" spans="6:15" ht="13.9" customHeight="1" x14ac:dyDescent="0.25">
      <c r="F99" s="202">
        <f>TIR!D225</f>
        <v>46935</v>
      </c>
      <c r="G99" s="203">
        <f>TIR!U225</f>
        <v>0</v>
      </c>
      <c r="H99" s="203">
        <f>IF(TIR!V225="","",ROUND(TIR!V225,2))</f>
        <v>0</v>
      </c>
      <c r="I99" s="203">
        <f>IF(TIR!W225="","",ROUND(TIR!W225,2))</f>
        <v>0</v>
      </c>
      <c r="J99" s="204">
        <f>TIR!H225</f>
        <v>0</v>
      </c>
      <c r="K99" s="204">
        <f>IF(TIR!I225="","",ROUND(TIR!I225,2))</f>
        <v>0</v>
      </c>
      <c r="L99" s="204">
        <f>TIR!J225</f>
        <v>0</v>
      </c>
      <c r="M99" s="204">
        <f>IF(TIR!K225="","",ROUND(TIR!K225,2))</f>
        <v>0</v>
      </c>
      <c r="N99" s="215">
        <f>TIR!L225</f>
        <v>-7.5</v>
      </c>
      <c r="O99" s="215">
        <f>IF(TIR!M225="","",ROUND(TIR!M225,2))</f>
        <v>-1.73</v>
      </c>
    </row>
    <row r="100" spans="6:15" ht="13.9" customHeight="1" x14ac:dyDescent="0.25">
      <c r="F100" s="202">
        <f>TIR!D226</f>
        <v>47027</v>
      </c>
      <c r="G100" s="203">
        <f>TIR!U226</f>
        <v>0</v>
      </c>
      <c r="H100" s="203">
        <f>IF(TIR!V226="","",ROUND(TIR!V226,2))</f>
        <v>0</v>
      </c>
      <c r="I100" s="203">
        <f>IF(TIR!W226="","",ROUND(TIR!W226,2))</f>
        <v>0</v>
      </c>
      <c r="J100" s="204">
        <f>TIR!H226</f>
        <v>0</v>
      </c>
      <c r="K100" s="204">
        <f>IF(TIR!I226="","",ROUND(TIR!I226,2))</f>
        <v>0</v>
      </c>
      <c r="L100" s="204">
        <f>TIR!J226</f>
        <v>0</v>
      </c>
      <c r="M100" s="204">
        <f>IF(TIR!K226="","",ROUND(TIR!K226,2))</f>
        <v>0</v>
      </c>
      <c r="N100" s="215">
        <f>TIR!L226</f>
        <v>-7.5</v>
      </c>
      <c r="O100" s="215">
        <f>IF(TIR!M226="","",ROUND(TIR!M226,2))</f>
        <v>-1.73</v>
      </c>
    </row>
    <row r="101" spans="6:15" ht="13.9" customHeight="1" x14ac:dyDescent="0.25">
      <c r="F101" s="202">
        <f>TIR!D227</f>
        <v>47042</v>
      </c>
      <c r="G101" s="203">
        <f>TIR!U227</f>
        <v>0</v>
      </c>
      <c r="H101" s="203">
        <f>IF(TIR!V227="","",ROUND(TIR!V227,2))</f>
        <v>0</v>
      </c>
      <c r="I101" s="203">
        <f>IF(TIR!W227="","",ROUND(TIR!W227,2))</f>
        <v>0</v>
      </c>
      <c r="J101" s="204">
        <f>TIR!H227</f>
        <v>62.5</v>
      </c>
      <c r="K101" s="204">
        <f>IF(TIR!I227="","",ROUND(TIR!I227,2))</f>
        <v>-17.5</v>
      </c>
      <c r="L101" s="204">
        <f>TIR!J227</f>
        <v>-5</v>
      </c>
      <c r="M101" s="204">
        <f>IF(TIR!K227="","",ROUND(TIR!K227,2))</f>
        <v>-1.1499999999999999</v>
      </c>
      <c r="N101" s="215">
        <f>TIR!L227</f>
        <v>0</v>
      </c>
      <c r="O101" s="215">
        <f>IF(TIR!M227="","",ROUND(TIR!M227,2))</f>
        <v>0</v>
      </c>
    </row>
    <row r="102" spans="6:15" ht="13.9" customHeight="1" x14ac:dyDescent="0.25">
      <c r="F102" s="202">
        <f>TIR!D228</f>
        <v>47119</v>
      </c>
      <c r="G102" s="203">
        <f>TIR!U228</f>
        <v>0</v>
      </c>
      <c r="H102" s="203">
        <f>IF(TIR!V228="","",ROUND(TIR!V228,2))</f>
        <v>0</v>
      </c>
      <c r="I102" s="203">
        <f>IF(TIR!W228="","",ROUND(TIR!W228,2))</f>
        <v>0</v>
      </c>
      <c r="J102" s="204">
        <f>TIR!H228</f>
        <v>0</v>
      </c>
      <c r="K102" s="204">
        <f>IF(TIR!I228="","",ROUND(TIR!I228,2))</f>
        <v>0</v>
      </c>
      <c r="L102" s="204">
        <f>TIR!J228</f>
        <v>0</v>
      </c>
      <c r="M102" s="204">
        <f>IF(TIR!K228="","",ROUND(TIR!K228,2))</f>
        <v>0</v>
      </c>
      <c r="N102" s="215">
        <f>TIR!L228</f>
        <v>-7.5</v>
      </c>
      <c r="O102" s="215">
        <f>IF(TIR!M228="","",ROUND(TIR!M228,2))</f>
        <v>-1.73</v>
      </c>
    </row>
    <row r="103" spans="6:15" ht="13.9" customHeight="1" x14ac:dyDescent="0.25">
      <c r="F103" s="202">
        <f>TIR!D229</f>
        <v>47209</v>
      </c>
      <c r="G103" s="203">
        <f>TIR!U229</f>
        <v>0</v>
      </c>
      <c r="H103" s="203">
        <f>IF(TIR!V229="","",ROUND(TIR!V229,2))</f>
        <v>0</v>
      </c>
      <c r="I103" s="203">
        <f>IF(TIR!W229="","",ROUND(TIR!W229,2))</f>
        <v>0</v>
      </c>
      <c r="J103" s="204">
        <f>TIR!H229</f>
        <v>0</v>
      </c>
      <c r="K103" s="204">
        <f>IF(TIR!I229="","",ROUND(TIR!I229,2))</f>
        <v>0</v>
      </c>
      <c r="L103" s="204">
        <f>TIR!J229</f>
        <v>0</v>
      </c>
      <c r="M103" s="204">
        <f>IF(TIR!K229="","",ROUND(TIR!K229,2))</f>
        <v>0</v>
      </c>
      <c r="N103" s="215">
        <f>TIR!L229</f>
        <v>-7.5</v>
      </c>
      <c r="O103" s="215">
        <f>IF(TIR!M229="","",ROUND(TIR!M229,2))</f>
        <v>-1.73</v>
      </c>
    </row>
    <row r="104" spans="6:15" ht="13.9" customHeight="1" x14ac:dyDescent="0.25">
      <c r="F104" s="202">
        <f>TIR!D230</f>
        <v>47224</v>
      </c>
      <c r="G104" s="203">
        <f>TIR!U230</f>
        <v>0</v>
      </c>
      <c r="H104" s="203">
        <f>IF(TIR!V230="","",ROUND(TIR!V230,2))</f>
        <v>0</v>
      </c>
      <c r="I104" s="203">
        <f>IF(TIR!W230="","",ROUND(TIR!W230,2))</f>
        <v>0</v>
      </c>
      <c r="J104" s="204">
        <f>TIR!H230</f>
        <v>62.5</v>
      </c>
      <c r="K104" s="204">
        <f>IF(TIR!I230="","",ROUND(TIR!I230,2))</f>
        <v>-17.5</v>
      </c>
      <c r="L104" s="204">
        <f>TIR!J230</f>
        <v>-5</v>
      </c>
      <c r="M104" s="204">
        <f>IF(TIR!K230="","",ROUND(TIR!K230,2))</f>
        <v>-1.1499999999999999</v>
      </c>
      <c r="N104" s="215">
        <f>TIR!L230</f>
        <v>0</v>
      </c>
      <c r="O104" s="215">
        <f>IF(TIR!M230="","",ROUND(TIR!M230,2))</f>
        <v>0</v>
      </c>
    </row>
    <row r="105" spans="6:15" ht="13.9" customHeight="1" x14ac:dyDescent="0.25">
      <c r="F105" s="202">
        <f>TIR!D231</f>
        <v>47300</v>
      </c>
      <c r="G105" s="203">
        <f>TIR!U231</f>
        <v>0</v>
      </c>
      <c r="H105" s="203">
        <f>IF(TIR!V231="","",ROUND(TIR!V231,2))</f>
        <v>0</v>
      </c>
      <c r="I105" s="203">
        <f>IF(TIR!W231="","",ROUND(TIR!W231,2))</f>
        <v>0</v>
      </c>
      <c r="J105" s="204">
        <f>TIR!H231</f>
        <v>0</v>
      </c>
      <c r="K105" s="204">
        <f>IF(TIR!I231="","",ROUND(TIR!I231,2))</f>
        <v>0</v>
      </c>
      <c r="L105" s="204">
        <f>TIR!J231</f>
        <v>0</v>
      </c>
      <c r="M105" s="204">
        <f>IF(TIR!K231="","",ROUND(TIR!K231,2))</f>
        <v>0</v>
      </c>
      <c r="N105" s="215">
        <f>TIR!L231</f>
        <v>-7.5</v>
      </c>
      <c r="O105" s="215">
        <f>IF(TIR!M231="","",ROUND(TIR!M231,2))</f>
        <v>-1.73</v>
      </c>
    </row>
    <row r="106" spans="6:15" ht="13.9" customHeight="1" x14ac:dyDescent="0.25">
      <c r="F106" s="202">
        <f>TIR!D232</f>
        <v>47392</v>
      </c>
      <c r="G106" s="203">
        <f>TIR!U232</f>
        <v>0</v>
      </c>
      <c r="H106" s="203">
        <f>IF(TIR!V232="","",ROUND(TIR!V232,2))</f>
        <v>0</v>
      </c>
      <c r="I106" s="203">
        <f>IF(TIR!W232="","",ROUND(TIR!W232,2))</f>
        <v>0</v>
      </c>
      <c r="J106" s="204">
        <f>TIR!H232</f>
        <v>0</v>
      </c>
      <c r="K106" s="204">
        <f>IF(TIR!I232="","",ROUND(TIR!I232,2))</f>
        <v>0</v>
      </c>
      <c r="L106" s="204">
        <f>TIR!J232</f>
        <v>0</v>
      </c>
      <c r="M106" s="204">
        <f>IF(TIR!K232="","",ROUND(TIR!K232,2))</f>
        <v>0</v>
      </c>
      <c r="N106" s="215">
        <f>TIR!L232</f>
        <v>-7.5</v>
      </c>
      <c r="O106" s="215">
        <f>IF(TIR!M232="","",ROUND(TIR!M232,2))</f>
        <v>-1.73</v>
      </c>
    </row>
    <row r="107" spans="6:15" x14ac:dyDescent="0.25">
      <c r="F107" s="202">
        <f>TIR!D233</f>
        <v>47407</v>
      </c>
      <c r="G107" s="203">
        <f>TIR!U233</f>
        <v>2500</v>
      </c>
      <c r="H107" s="203">
        <f>IF(TIR!V233="","",ROUND(TIR!V233,2))</f>
        <v>-12.5</v>
      </c>
      <c r="I107" s="203">
        <f>IF(TIR!W233="","",ROUND(TIR!W233,2))</f>
        <v>-2.88</v>
      </c>
      <c r="J107" s="204">
        <f>TIR!H233</f>
        <v>62.5</v>
      </c>
      <c r="K107" s="204">
        <f>IF(TIR!I233="","",ROUND(TIR!I233,2))</f>
        <v>-17.5</v>
      </c>
      <c r="L107" s="204">
        <f>TIR!J233</f>
        <v>-5</v>
      </c>
      <c r="M107" s="204">
        <f>IF(TIR!K233="","",ROUND(TIR!K233,2))</f>
        <v>-1.1499999999999999</v>
      </c>
      <c r="N107" s="215">
        <f>TIR!L233</f>
        <v>0</v>
      </c>
      <c r="O107" s="215">
        <f>IF(TIR!M233="","",ROUND(TIR!M233,2))</f>
        <v>0</v>
      </c>
    </row>
    <row r="108" spans="6:15" ht="13.9" customHeight="1" x14ac:dyDescent="0.25">
      <c r="F108" s="202" t="str">
        <f>TIR!D234</f>
        <v/>
      </c>
      <c r="G108" s="203" t="str">
        <f>TIR!U234</f>
        <v/>
      </c>
      <c r="H108" s="203" t="str">
        <f>IF(TIR!V234="","",ROUND(TIR!V234,2))</f>
        <v/>
      </c>
      <c r="I108" s="203" t="str">
        <f>IF(TIR!W234="","",ROUND(TIR!W234,2))</f>
        <v/>
      </c>
      <c r="J108" s="204" t="str">
        <f>TIR!H234</f>
        <v/>
      </c>
      <c r="K108" s="204" t="str">
        <f>IF(TIR!I234="","",ROUND(TIR!I234,2))</f>
        <v/>
      </c>
      <c r="L108" s="204" t="str">
        <f>TIR!J234</f>
        <v/>
      </c>
      <c r="M108" s="204" t="str">
        <f>IF(TIR!K234="","",ROUND(TIR!K234,2))</f>
        <v/>
      </c>
      <c r="N108" s="215" t="str">
        <f>TIR!L234</f>
        <v/>
      </c>
      <c r="O108" s="215" t="str">
        <f>IF(TIR!M234="","",ROUND(TIR!M234,2))</f>
        <v/>
      </c>
    </row>
    <row r="109" spans="6:15" ht="13.9" customHeight="1" x14ac:dyDescent="0.25">
      <c r="F109" s="202" t="str">
        <f>TIR!D235</f>
        <v/>
      </c>
      <c r="G109" s="203" t="str">
        <f>TIR!U235</f>
        <v/>
      </c>
      <c r="H109" s="203" t="str">
        <f>IF(TIR!V235="","",ROUND(TIR!V235,2))</f>
        <v/>
      </c>
      <c r="I109" s="203" t="str">
        <f>IF(TIR!W235="","",ROUND(TIR!W235,2))</f>
        <v/>
      </c>
      <c r="J109" s="204" t="str">
        <f>TIR!H235</f>
        <v/>
      </c>
      <c r="K109" s="204" t="str">
        <f>IF(TIR!I235="","",ROUND(TIR!I235,2))</f>
        <v/>
      </c>
      <c r="L109" s="204" t="str">
        <f>TIR!J235</f>
        <v/>
      </c>
      <c r="M109" s="204" t="str">
        <f>IF(TIR!K235="","",ROUND(TIR!K235,2))</f>
        <v/>
      </c>
      <c r="N109" s="215" t="str">
        <f>TIR!L235</f>
        <v/>
      </c>
      <c r="O109" s="215" t="str">
        <f>IF(TIR!M235="","",ROUND(TIR!M235,2))</f>
        <v/>
      </c>
    </row>
    <row r="110" spans="6:15" ht="13.9" customHeight="1" x14ac:dyDescent="0.25">
      <c r="F110" s="202" t="str">
        <f>TIR!D236</f>
        <v/>
      </c>
      <c r="G110" s="203" t="str">
        <f>TIR!U236</f>
        <v/>
      </c>
      <c r="H110" s="203" t="str">
        <f>IF(TIR!V236="","",ROUND(TIR!V236,2))</f>
        <v/>
      </c>
      <c r="I110" s="203" t="str">
        <f>IF(TIR!W236="","",ROUND(TIR!W236,2))</f>
        <v/>
      </c>
      <c r="J110" s="204" t="str">
        <f>TIR!H236</f>
        <v/>
      </c>
      <c r="K110" s="204" t="str">
        <f>IF(TIR!I236="","",ROUND(TIR!I236,2))</f>
        <v/>
      </c>
      <c r="L110" s="204" t="str">
        <f>TIR!J236</f>
        <v/>
      </c>
      <c r="M110" s="204" t="str">
        <f>IF(TIR!K236="","",ROUND(TIR!K236,2))</f>
        <v/>
      </c>
      <c r="N110" s="215" t="str">
        <f>TIR!L236</f>
        <v/>
      </c>
      <c r="O110" s="215" t="str">
        <f>IF(TIR!M236="","",ROUND(TIR!M236,2))</f>
        <v/>
      </c>
    </row>
    <row r="111" spans="6:15" ht="13.9" customHeight="1" x14ac:dyDescent="0.25">
      <c r="F111" s="202" t="str">
        <f>TIR!D237</f>
        <v/>
      </c>
      <c r="G111" s="203" t="str">
        <f>TIR!U237</f>
        <v/>
      </c>
      <c r="H111" s="203" t="str">
        <f>IF(TIR!V237="","",ROUND(TIR!V237,2))</f>
        <v/>
      </c>
      <c r="I111" s="203" t="str">
        <f>IF(TIR!W237="","",ROUND(TIR!W237,2))</f>
        <v/>
      </c>
      <c r="J111" s="204" t="str">
        <f>TIR!H237</f>
        <v/>
      </c>
      <c r="K111" s="204" t="str">
        <f>IF(TIR!I237="","",ROUND(TIR!I237,2))</f>
        <v/>
      </c>
      <c r="L111" s="204" t="str">
        <f>TIR!J237</f>
        <v/>
      </c>
      <c r="M111" s="204" t="str">
        <f>IF(TIR!K237="","",ROUND(TIR!K237,2))</f>
        <v/>
      </c>
      <c r="N111" s="215" t="str">
        <f>TIR!L237</f>
        <v/>
      </c>
      <c r="O111" s="215" t="str">
        <f>IF(TIR!M237="","",ROUND(TIR!M237,2))</f>
        <v/>
      </c>
    </row>
    <row r="112" spans="6:15" ht="13.9" customHeight="1" x14ac:dyDescent="0.25">
      <c r="F112" s="202" t="str">
        <f>TIR!D238</f>
        <v/>
      </c>
      <c r="G112" s="203" t="str">
        <f>TIR!U238</f>
        <v/>
      </c>
      <c r="H112" s="203" t="str">
        <f>IF(TIR!V238="","",ROUND(TIR!V238,2))</f>
        <v/>
      </c>
      <c r="I112" s="203" t="str">
        <f>IF(TIR!W238="","",ROUND(TIR!W238,2))</f>
        <v/>
      </c>
      <c r="J112" s="204" t="str">
        <f>TIR!H238</f>
        <v/>
      </c>
      <c r="K112" s="204" t="str">
        <f>IF(TIR!I238="","",ROUND(TIR!I238,2))</f>
        <v/>
      </c>
      <c r="L112" s="204" t="str">
        <f>TIR!J238</f>
        <v/>
      </c>
      <c r="M112" s="204" t="str">
        <f>IF(TIR!K238="","",ROUND(TIR!K238,2))</f>
        <v/>
      </c>
      <c r="N112" s="215" t="str">
        <f>TIR!L238</f>
        <v/>
      </c>
      <c r="O112" s="215" t="str">
        <f>IF(TIR!M238="","",ROUND(TIR!M238,2))</f>
        <v/>
      </c>
    </row>
    <row r="113" spans="6:15" ht="13.9" customHeight="1" x14ac:dyDescent="0.25">
      <c r="F113" s="202" t="str">
        <f>TIR!D239</f>
        <v/>
      </c>
      <c r="G113" s="203" t="str">
        <f>TIR!U239</f>
        <v/>
      </c>
      <c r="H113" s="203" t="str">
        <f>IF(TIR!V239="","",ROUND(TIR!V239,2))</f>
        <v/>
      </c>
      <c r="I113" s="203" t="str">
        <f>IF(TIR!W239="","",ROUND(TIR!W239,2))</f>
        <v/>
      </c>
      <c r="J113" s="204" t="str">
        <f>TIR!H239</f>
        <v/>
      </c>
      <c r="K113" s="204" t="str">
        <f>IF(TIR!I239="","",ROUND(TIR!I239,2))</f>
        <v/>
      </c>
      <c r="L113" s="204" t="str">
        <f>TIR!J239</f>
        <v/>
      </c>
      <c r="M113" s="204" t="str">
        <f>IF(TIR!K239="","",ROUND(TIR!K239,2))</f>
        <v/>
      </c>
      <c r="N113" s="215" t="str">
        <f>TIR!L239</f>
        <v/>
      </c>
      <c r="O113" s="215" t="str">
        <f>IF(TIR!M239="","",ROUND(TIR!M239,2))</f>
        <v/>
      </c>
    </row>
    <row r="114" spans="6:15" ht="13.9" customHeight="1" x14ac:dyDescent="0.25">
      <c r="F114" s="202" t="str">
        <f>TIR!D240</f>
        <v/>
      </c>
      <c r="G114" s="203" t="str">
        <f>TIR!U240</f>
        <v/>
      </c>
      <c r="H114" s="203" t="str">
        <f>IF(TIR!V240="","",ROUND(TIR!V240,2))</f>
        <v/>
      </c>
      <c r="I114" s="203" t="str">
        <f>IF(TIR!W240="","",ROUND(TIR!W240,2))</f>
        <v/>
      </c>
      <c r="J114" s="204" t="str">
        <f>TIR!H240</f>
        <v/>
      </c>
      <c r="K114" s="204" t="str">
        <f>IF(TIR!I240="","",ROUND(TIR!I240,2))</f>
        <v/>
      </c>
      <c r="L114" s="204" t="str">
        <f>TIR!J240</f>
        <v/>
      </c>
      <c r="M114" s="204" t="str">
        <f>IF(TIR!K240="","",ROUND(TIR!K240,2))</f>
        <v/>
      </c>
      <c r="N114" s="215" t="str">
        <f>TIR!L240</f>
        <v/>
      </c>
      <c r="O114" s="215" t="str">
        <f>IF(TIR!M240="","",ROUND(TIR!M240,2))</f>
        <v/>
      </c>
    </row>
    <row r="115" spans="6:15" ht="13.9" customHeight="1" x14ac:dyDescent="0.25">
      <c r="F115" s="202" t="str">
        <f>TIR!D241</f>
        <v/>
      </c>
      <c r="G115" s="203" t="str">
        <f>TIR!U241</f>
        <v/>
      </c>
      <c r="H115" s="203" t="str">
        <f>IF(TIR!V241="","",ROUND(TIR!V241,2))</f>
        <v/>
      </c>
      <c r="I115" s="203" t="str">
        <f>IF(TIR!W241="","",ROUND(TIR!W241,2))</f>
        <v/>
      </c>
      <c r="J115" s="204" t="str">
        <f>TIR!H241</f>
        <v/>
      </c>
      <c r="K115" s="204" t="str">
        <f>IF(TIR!I241="","",ROUND(TIR!I241,2))</f>
        <v/>
      </c>
      <c r="L115" s="204" t="str">
        <f>TIR!J241</f>
        <v/>
      </c>
      <c r="M115" s="204" t="str">
        <f>IF(TIR!K241="","",ROUND(TIR!K241,2))</f>
        <v/>
      </c>
      <c r="N115" s="215" t="str">
        <f>TIR!L241</f>
        <v/>
      </c>
      <c r="O115" s="215" t="str">
        <f>IF(TIR!M241="","",ROUND(TIR!M241,2))</f>
        <v/>
      </c>
    </row>
    <row r="116" spans="6:15" ht="13.9" customHeight="1" x14ac:dyDescent="0.25">
      <c r="F116" s="202" t="str">
        <f>TIR!D242</f>
        <v/>
      </c>
      <c r="G116" s="203" t="str">
        <f>TIR!U242</f>
        <v/>
      </c>
      <c r="H116" s="203" t="str">
        <f>IF(TIR!V242="","",ROUND(TIR!V242,2))</f>
        <v/>
      </c>
      <c r="I116" s="203" t="str">
        <f>IF(TIR!W242="","",ROUND(TIR!W242,2))</f>
        <v/>
      </c>
      <c r="J116" s="204" t="str">
        <f>TIR!H242</f>
        <v/>
      </c>
      <c r="K116" s="204" t="str">
        <f>IF(TIR!I242="","",ROUND(TIR!I242,2))</f>
        <v/>
      </c>
      <c r="L116" s="204" t="str">
        <f>TIR!J242</f>
        <v/>
      </c>
      <c r="M116" s="204" t="str">
        <f>IF(TIR!K242="","",ROUND(TIR!K242,2))</f>
        <v/>
      </c>
      <c r="N116" s="215" t="str">
        <f>TIR!L242</f>
        <v/>
      </c>
      <c r="O116" s="215" t="str">
        <f>IF(TIR!M242="","",ROUND(TIR!M242,2))</f>
        <v/>
      </c>
    </row>
    <row r="117" spans="6:15" ht="13.9" customHeight="1" x14ac:dyDescent="0.25">
      <c r="F117" s="202" t="str">
        <f>TIR!D243</f>
        <v/>
      </c>
      <c r="G117" s="203" t="str">
        <f>TIR!U243</f>
        <v/>
      </c>
      <c r="H117" s="203" t="str">
        <f>IF(TIR!V243="","",ROUND(TIR!V243,2))</f>
        <v/>
      </c>
      <c r="I117" s="203" t="str">
        <f>IF(TIR!W243="","",ROUND(TIR!W243,2))</f>
        <v/>
      </c>
      <c r="J117" s="204" t="str">
        <f>TIR!H243</f>
        <v/>
      </c>
      <c r="K117" s="204" t="str">
        <f>IF(TIR!I243="","",ROUND(TIR!I243,2))</f>
        <v/>
      </c>
      <c r="L117" s="204" t="str">
        <f>TIR!J243</f>
        <v/>
      </c>
      <c r="M117" s="204" t="str">
        <f>IF(TIR!K243="","",ROUND(TIR!K243,2))</f>
        <v/>
      </c>
      <c r="N117" s="215" t="str">
        <f>TIR!L243</f>
        <v/>
      </c>
      <c r="O117" s="215" t="str">
        <f>IF(TIR!M243="","",ROUND(TIR!M243,2))</f>
        <v/>
      </c>
    </row>
    <row r="118" spans="6:15" ht="13.9" customHeight="1" x14ac:dyDescent="0.25">
      <c r="F118" s="202" t="str">
        <f>TIR!D244</f>
        <v/>
      </c>
      <c r="G118" s="203" t="str">
        <f>TIR!U244</f>
        <v/>
      </c>
      <c r="H118" s="203" t="str">
        <f>IF(TIR!V244="","",ROUND(TIR!V244,2))</f>
        <v/>
      </c>
      <c r="I118" s="203" t="str">
        <f>IF(TIR!W244="","",ROUND(TIR!W244,2))</f>
        <v/>
      </c>
      <c r="J118" s="204" t="str">
        <f>TIR!H244</f>
        <v/>
      </c>
      <c r="K118" s="204" t="str">
        <f>IF(TIR!I244="","",ROUND(TIR!I244,2))</f>
        <v/>
      </c>
      <c r="L118" s="204" t="str">
        <f>TIR!J244</f>
        <v/>
      </c>
      <c r="M118" s="204" t="str">
        <f>IF(TIR!K244="","",ROUND(TIR!K244,2))</f>
        <v/>
      </c>
      <c r="N118" s="215" t="str">
        <f>TIR!L244</f>
        <v/>
      </c>
      <c r="O118" s="215" t="str">
        <f>IF(TIR!M244="","",ROUND(TIR!M244,2))</f>
        <v/>
      </c>
    </row>
    <row r="119" spans="6:15" ht="13.9" customHeight="1" x14ac:dyDescent="0.25">
      <c r="F119" s="202" t="str">
        <f>TIR!D245</f>
        <v/>
      </c>
      <c r="G119" s="203" t="str">
        <f>TIR!U245</f>
        <v/>
      </c>
      <c r="H119" s="203" t="str">
        <f>IF(TIR!V245="","",ROUND(TIR!V245,2))</f>
        <v/>
      </c>
      <c r="I119" s="203" t="str">
        <f>IF(TIR!W245="","",ROUND(TIR!W245,2))</f>
        <v/>
      </c>
      <c r="J119" s="204" t="str">
        <f>TIR!H245</f>
        <v/>
      </c>
      <c r="K119" s="204" t="str">
        <f>IF(TIR!I245="","",ROUND(TIR!I245,2))</f>
        <v/>
      </c>
      <c r="L119" s="204" t="str">
        <f>TIR!J245</f>
        <v/>
      </c>
      <c r="M119" s="204" t="str">
        <f>IF(TIR!K245="","",ROUND(TIR!K245,2))</f>
        <v/>
      </c>
      <c r="N119" s="215" t="str">
        <f>TIR!L245</f>
        <v/>
      </c>
      <c r="O119" s="215" t="str">
        <f>IF(TIR!M245="","",ROUND(TIR!M245,2))</f>
        <v/>
      </c>
    </row>
    <row r="120" spans="6:15" ht="13.9" customHeight="1" x14ac:dyDescent="0.25">
      <c r="F120" s="202" t="str">
        <f>TIR!D246</f>
        <v/>
      </c>
      <c r="G120" s="203" t="str">
        <f>TIR!U246</f>
        <v/>
      </c>
      <c r="H120" s="203" t="str">
        <f>IF(TIR!V246="","",ROUND(TIR!V246,2))</f>
        <v/>
      </c>
      <c r="I120" s="203" t="str">
        <f>IF(TIR!W246="","",ROUND(TIR!W246,2))</f>
        <v/>
      </c>
      <c r="J120" s="204" t="str">
        <f>IF(TIR!H246="","",ROUND(TIR!H246,2))</f>
        <v/>
      </c>
      <c r="K120" s="204" t="str">
        <f>IF(TIR!I246="","",ROUND(TIR!I246,2))</f>
        <v/>
      </c>
      <c r="L120" s="204" t="str">
        <f>TIR!J246</f>
        <v/>
      </c>
      <c r="M120" s="204" t="str">
        <f>IF(TIR!K246="","",ROUND(TIR!K246,2))</f>
        <v/>
      </c>
      <c r="N120" s="215" t="str">
        <f>TIR!L246</f>
        <v/>
      </c>
      <c r="O120" s="215" t="str">
        <f>IF(TIR!M246="","",ROUND(TIR!M246,2))</f>
        <v/>
      </c>
    </row>
    <row r="121" spans="6:15" ht="13.9" customHeight="1" x14ac:dyDescent="0.25">
      <c r="F121" s="207" t="s">
        <v>251</v>
      </c>
      <c r="G121" s="208">
        <f t="shared" ref="G121:O121" si="0">SUM(G77:G120)</f>
        <v>0</v>
      </c>
      <c r="H121" s="208">
        <f t="shared" si="0"/>
        <v>-25</v>
      </c>
      <c r="I121" s="208">
        <f t="shared" si="0"/>
        <v>-3.38</v>
      </c>
      <c r="J121" s="209">
        <f t="shared" si="0"/>
        <v>625</v>
      </c>
      <c r="K121" s="209">
        <f t="shared" si="0"/>
        <v>-175</v>
      </c>
      <c r="L121" s="209">
        <f t="shared" si="0"/>
        <v>-50</v>
      </c>
      <c r="M121" s="209">
        <f t="shared" si="0"/>
        <v>-11.500000000000002</v>
      </c>
      <c r="N121" s="210">
        <f t="shared" si="0"/>
        <v>-150</v>
      </c>
      <c r="O121" s="210">
        <f t="shared" si="0"/>
        <v>-34.6</v>
      </c>
    </row>
    <row r="122" spans="6:15" ht="13.9" customHeight="1" x14ac:dyDescent="0.25">
      <c r="K122" s="62"/>
      <c r="L122" s="62"/>
      <c r="M122" s="62"/>
      <c r="N122" s="62"/>
      <c r="O122" s="62"/>
    </row>
    <row r="123" spans="6:15" ht="13.9" customHeight="1" x14ac:dyDescent="0.25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35">
      <c r="F124" s="360" t="str">
        <f>K25</f>
        <v>Juro Bruto até à maturidade:</v>
      </c>
      <c r="G124" s="360"/>
      <c r="H124" s="360"/>
      <c r="I124" s="206">
        <f>M25</f>
        <v>625</v>
      </c>
      <c r="K124" s="360" t="str">
        <f>K33</f>
        <v>Rendimento Liq. até maturidade:</v>
      </c>
      <c r="L124" s="360"/>
      <c r="M124" s="360"/>
      <c r="N124" s="206">
        <f>SUM(G121:O121)</f>
        <v>175.52</v>
      </c>
      <c r="O124" s="205" t="str">
        <f>IF(N124=M33,"OK","Atenção")</f>
        <v>OK</v>
      </c>
    </row>
    <row r="125" spans="6:15" ht="13.9" customHeight="1" x14ac:dyDescent="0.25">
      <c r="F125" s="64"/>
      <c r="G125" s="64"/>
      <c r="H125" s="64"/>
      <c r="I125" s="64"/>
    </row>
    <row r="126" spans="6:15" ht="13.9" customHeight="1" x14ac:dyDescent="0.25">
      <c r="F126" s="64"/>
      <c r="G126" s="64"/>
      <c r="H126" s="64"/>
      <c r="I126" s="64"/>
    </row>
    <row r="127" spans="6:15" ht="13.9" customHeight="1" x14ac:dyDescent="0.25">
      <c r="F127" s="64"/>
      <c r="G127" s="64"/>
      <c r="H127" s="64"/>
      <c r="I127" s="64"/>
    </row>
    <row r="128" spans="6:15" ht="13.9" customHeight="1" x14ac:dyDescent="0.25">
      <c r="F128" s="64"/>
      <c r="G128" s="64"/>
      <c r="H128" s="64"/>
      <c r="I128" s="64"/>
    </row>
    <row r="129" spans="5:25" x14ac:dyDescent="0.25">
      <c r="F129" s="1"/>
      <c r="G129" s="1"/>
      <c r="H129" s="1"/>
      <c r="I129" s="1"/>
    </row>
    <row r="130" spans="5:25" ht="7.5" customHeight="1" x14ac:dyDescent="0.25">
      <c r="F130" s="64"/>
      <c r="G130" s="64"/>
      <c r="H130" s="64"/>
      <c r="I130" s="64"/>
    </row>
    <row r="131" spans="5:25" s="61" customFormat="1" ht="15.75" x14ac:dyDescent="0.25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25">
      <c r="F132" s="1"/>
      <c r="G132" s="64"/>
      <c r="H132" s="1"/>
      <c r="I132" s="1"/>
    </row>
    <row r="133" spans="5:25" x14ac:dyDescent="0.25">
      <c r="F133" s="1"/>
      <c r="G133" s="64"/>
      <c r="H133" s="1"/>
      <c r="I133" s="1"/>
    </row>
    <row r="134" spans="5:25" x14ac:dyDescent="0.25">
      <c r="F134" s="1"/>
      <c r="G134" s="64"/>
      <c r="H134" s="1"/>
      <c r="I134" s="1"/>
    </row>
    <row r="135" spans="5:25" ht="15" customHeight="1" x14ac:dyDescent="0.25">
      <c r="F135" s="1"/>
      <c r="G135" s="64"/>
      <c r="H135" s="1"/>
      <c r="I135" s="1"/>
    </row>
    <row r="144" spans="5:25" ht="20.25" customHeight="1" x14ac:dyDescent="0.25"/>
    <row r="198" spans="6:14" ht="28.9" customHeight="1" x14ac:dyDescent="0.25">
      <c r="F198" s="387"/>
      <c r="G198" s="387"/>
      <c r="H198" s="387"/>
      <c r="I198" s="387"/>
      <c r="J198" s="387"/>
      <c r="K198" s="387"/>
      <c r="L198" s="387"/>
      <c r="M198" s="387"/>
      <c r="N198" s="387"/>
    </row>
    <row r="199" spans="6:14" ht="43.15" customHeight="1" x14ac:dyDescent="0.25">
      <c r="F199" s="387"/>
      <c r="G199" s="387"/>
      <c r="H199" s="387"/>
      <c r="I199" s="387"/>
      <c r="J199" s="387"/>
      <c r="K199" s="387"/>
      <c r="L199" s="387"/>
      <c r="M199" s="387"/>
      <c r="N199" s="387"/>
    </row>
    <row r="200" spans="6:14" x14ac:dyDescent="0.25">
      <c r="F200" s="388"/>
      <c r="G200" s="388"/>
      <c r="H200" s="388"/>
      <c r="I200" s="388"/>
      <c r="J200" s="388"/>
      <c r="K200" s="388"/>
      <c r="L200" s="388"/>
      <c r="M200" s="388"/>
      <c r="N200" s="388"/>
    </row>
  </sheetData>
  <sheetProtection algorithmName="SHA-512" hashValue="Okar8irEH8Rj9t9V/AdEcl2cFDUj4hiRtYQ62wIPVVurPeEYUVx0ZUIKtPdYIRdbCCgntl8DdvE75N7w6cgrmw==" saltValue="bctDJ/4x4A7lGI9d8BkR1A==" spinCount="100000" sheet="1" selectLockedCells="1"/>
  <customSheetViews>
    <customSheetView guid="{E5DD0799-20B4-402F-85BC-F738FD6BB8CA}" showPageBreaks="1" showGridLines="0" printArea="1" hiddenRows="1">
      <selection activeCell="B8" sqref="B8:E8"/>
      <pageMargins left="1.4960629921259843" right="0.70866141732283472" top="0.74803149606299213" bottom="0.74803149606299213" header="0.31496062992125984" footer="0.31496062992125984"/>
      <pageSetup paperSize="9" scale="110" orientation="portrait" r:id="rId1"/>
    </customSheetView>
  </customSheetViews>
  <mergeCells count="76">
    <mergeCell ref="M40:N40"/>
    <mergeCell ref="M41:N41"/>
    <mergeCell ref="F43:O43"/>
    <mergeCell ref="F44:O44"/>
    <mergeCell ref="K40:L40"/>
    <mergeCell ref="K41:L41"/>
    <mergeCell ref="I40:J40"/>
    <mergeCell ref="I41:J41"/>
    <mergeCell ref="M27:N27"/>
    <mergeCell ref="H21:I21"/>
    <mergeCell ref="F23:G23"/>
    <mergeCell ref="F28:I29"/>
    <mergeCell ref="H25:I25"/>
    <mergeCell ref="H27:I27"/>
    <mergeCell ref="F25:G25"/>
    <mergeCell ref="F27:G27"/>
    <mergeCell ref="H23:I23"/>
    <mergeCell ref="M23:N23"/>
    <mergeCell ref="M25:N25"/>
    <mergeCell ref="K27:L27"/>
    <mergeCell ref="M29:N29"/>
    <mergeCell ref="K29:L29"/>
    <mergeCell ref="F33:G33"/>
    <mergeCell ref="H30:I33"/>
    <mergeCell ref="L56:M56"/>
    <mergeCell ref="G57:H57"/>
    <mergeCell ref="G60:H60"/>
    <mergeCell ref="K31:L31"/>
    <mergeCell ref="M31:N31"/>
    <mergeCell ref="M33:N33"/>
    <mergeCell ref="F30:G32"/>
    <mergeCell ref="K60:N60"/>
    <mergeCell ref="F35:N35"/>
    <mergeCell ref="F34:N34"/>
    <mergeCell ref="F54:N54"/>
    <mergeCell ref="F37:O38"/>
    <mergeCell ref="G40:H40"/>
    <mergeCell ref="G41:H41"/>
    <mergeCell ref="K1:N1"/>
    <mergeCell ref="K2:N2"/>
    <mergeCell ref="K4:N4"/>
    <mergeCell ref="F6:N6"/>
    <mergeCell ref="K7:N7"/>
    <mergeCell ref="F7:I7"/>
    <mergeCell ref="K3:N3"/>
    <mergeCell ref="F198:N198"/>
    <mergeCell ref="F199:N199"/>
    <mergeCell ref="F200:N200"/>
    <mergeCell ref="G11:I11"/>
    <mergeCell ref="F9:I9"/>
    <mergeCell ref="H19:I19"/>
    <mergeCell ref="F19:G19"/>
    <mergeCell ref="F21:G21"/>
    <mergeCell ref="F15:I15"/>
    <mergeCell ref="H17:I17"/>
    <mergeCell ref="F17:G17"/>
    <mergeCell ref="F63:N63"/>
    <mergeCell ref="K33:L33"/>
    <mergeCell ref="K21:N21"/>
    <mergeCell ref="K23:L23"/>
    <mergeCell ref="K25:L25"/>
    <mergeCell ref="F75:F76"/>
    <mergeCell ref="N75:O75"/>
    <mergeCell ref="K124:M124"/>
    <mergeCell ref="F124:H124"/>
    <mergeCell ref="F46:O47"/>
    <mergeCell ref="F72:O73"/>
    <mergeCell ref="J75:M75"/>
    <mergeCell ref="G75:I75"/>
    <mergeCell ref="L49:L52"/>
    <mergeCell ref="M49:N52"/>
    <mergeCell ref="J49:K52"/>
    <mergeCell ref="F49:I51"/>
    <mergeCell ref="F52:I52"/>
    <mergeCell ref="K61:N61"/>
    <mergeCell ref="L62:M62"/>
  </mergeCells>
  <conditionalFormatting sqref="G11:I11">
    <cfRule type="containsText" dxfId="11" priority="2" operator="containsText" text="A PREENCHER Nome, Conta e NIF">
      <formula>NOT(ISERROR(SEARCH("A PREENCHER Nome, Conta e NIF",G11)))</formula>
    </cfRule>
  </conditionalFormatting>
  <conditionalFormatting sqref="H25 H27">
    <cfRule type="cellIs" dxfId="10" priority="3" stopIfTrue="1" operator="equal">
      <formula>"A PREENCHER"</formula>
    </cfRule>
  </conditionalFormatting>
  <conditionalFormatting sqref="O124">
    <cfRule type="cellIs" dxfId="9" priority="1" operator="equal">
      <formula>"OK"</formula>
    </cfRule>
  </conditionalFormatting>
  <dataValidations xWindow="662" yWindow="563" count="6">
    <dataValidation type="textLength" showInputMessage="1" showErrorMessage="1" errorTitle="Nome do Cliente" error="Inserir o Nome do Cliente" prompt="Nome do Cliente" sqref="G11:I11" xr:uid="{00000000-0002-0000-0000-000000000000}">
      <formula1>7</formula1>
      <formula2>70</formula2>
    </dataValidation>
    <dataValidation type="whole" allowBlank="1" showInputMessage="1" showErrorMessage="1" errorTitle="Inserir o NIF do Cliente" error="Inserir o NIF do Cliente" prompt="NIF do Cliente" sqref="I13" xr:uid="{00000000-0002-0000-0000-000001000000}">
      <formula1>99999999</formula1>
      <formula2>999999999</formula2>
    </dataValidation>
    <dataValidation type="whole" allowBlank="1" showInputMessage="1" showErrorMessage="1" errorTitle="Inserir a Conta de Títulos" error="Inserir a Conta de Títulos do Cliente" prompt="Conta de Títulos" sqref="G13" xr:uid="{00000000-0002-0000-0000-000002000000}">
      <formula1>40000000001</formula1>
      <formula2>40400000000</formula2>
    </dataValidation>
    <dataValidation type="custom" allowBlank="1" showInputMessage="1" showErrorMessage="1" error="Montante mínimo: 2.500€_x000a_Montante máximo: 50.000.000€_x000a_A partir do montante mínimo as ordens de subscrição devem ser expressas em múltiplos de 250€" prompt="Montante mínimo: 2.500€_x000a_Montante máximo: 50.000.000€_x000a_A partir do montante mínimo as ordens de subscrição devem ser expressas em múltiplos de 250€" sqref="H17:I17" xr:uid="{00000000-0002-0000-0000-000003000000}">
      <formula1>AND(H17&gt;=2500,H17&lt;=50000000,H17/250=INT(H17/250))=TRUE</formula1>
    </dataValidation>
    <dataValidation type="list" allowBlank="1" showInputMessage="1" showErrorMessage="1" sqref="H27:I27" xr:uid="{00000000-0002-0000-0000-000004000000}">
      <formula1>$XFB$1:$XFB$3</formula1>
    </dataValidation>
    <dataValidation type="list" allowBlank="1" showInputMessage="1" showErrorMessage="1" sqref="H25:I25" xr:uid="{00000000-0002-0000-0000-00000500000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6" fitToHeight="0" orientation="portrait" r:id="rId2"/>
  <rowBreaks count="2" manualBreakCount="2">
    <brk id="69" max="16383" man="1"/>
    <brk id="128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53FB-5F3D-4DE0-BE37-16B5560AF5FC}">
  <dimension ref="D2:F16"/>
  <sheetViews>
    <sheetView zoomScale="130" zoomScaleNormal="130" workbookViewId="0">
      <selection activeCell="F4" sqref="F4"/>
    </sheetView>
  </sheetViews>
  <sheetFormatPr defaultRowHeight="15" x14ac:dyDescent="0.25"/>
  <cols>
    <col min="4" max="4" width="11.28515625" bestFit="1" customWidth="1"/>
    <col min="6" max="6" width="21.140625" customWidth="1"/>
  </cols>
  <sheetData>
    <row r="2" spans="4:6" x14ac:dyDescent="0.25">
      <c r="D2" s="262">
        <v>0.05</v>
      </c>
      <c r="E2" s="261">
        <v>10000</v>
      </c>
    </row>
    <row r="3" spans="4:6" x14ac:dyDescent="0.25">
      <c r="D3" s="249">
        <v>45581</v>
      </c>
      <c r="F3">
        <v>-10000</v>
      </c>
    </row>
    <row r="4" spans="4:6" x14ac:dyDescent="0.25">
      <c r="D4" s="249">
        <v>45763</v>
      </c>
      <c r="E4">
        <v>180</v>
      </c>
      <c r="F4">
        <f>ROUND($E$2*$D$2*E4/360,5)</f>
        <v>250</v>
      </c>
    </row>
    <row r="5" spans="4:6" x14ac:dyDescent="0.25">
      <c r="D5" s="249">
        <v>45946</v>
      </c>
      <c r="E5">
        <v>180</v>
      </c>
      <c r="F5">
        <f>ROUND($E$2*$D$2*E5/360,5)</f>
        <v>250</v>
      </c>
    </row>
    <row r="6" spans="4:6" x14ac:dyDescent="0.25">
      <c r="D6" s="249">
        <v>46128</v>
      </c>
      <c r="E6">
        <v>180</v>
      </c>
      <c r="F6">
        <f>ROUND($E$2*$D$2*E6/360,5)</f>
        <v>250</v>
      </c>
    </row>
    <row r="7" spans="4:6" x14ac:dyDescent="0.25">
      <c r="D7" s="249">
        <v>46311</v>
      </c>
      <c r="E7">
        <v>180</v>
      </c>
      <c r="F7">
        <f>ROUND($E$2*$D$2*E7/360,5)</f>
        <v>250</v>
      </c>
    </row>
    <row r="8" spans="4:6" x14ac:dyDescent="0.25">
      <c r="D8" s="249">
        <v>46493</v>
      </c>
      <c r="E8">
        <v>180</v>
      </c>
      <c r="F8">
        <f>ROUND($E$2*$D$2*E8/360,5)</f>
        <v>250</v>
      </c>
    </row>
    <row r="9" spans="4:6" x14ac:dyDescent="0.25">
      <c r="D9" s="249">
        <v>46676</v>
      </c>
      <c r="E9">
        <v>180</v>
      </c>
      <c r="F9">
        <f t="shared" ref="F9:F12" si="0">ROUND($E$2*$D$2*E9/360,5)</f>
        <v>250</v>
      </c>
    </row>
    <row r="10" spans="4:6" x14ac:dyDescent="0.25">
      <c r="D10" s="249">
        <v>46859</v>
      </c>
      <c r="E10">
        <v>180</v>
      </c>
      <c r="F10">
        <f t="shared" si="0"/>
        <v>250</v>
      </c>
    </row>
    <row r="11" spans="4:6" x14ac:dyDescent="0.25">
      <c r="D11" s="249">
        <v>47042</v>
      </c>
      <c r="E11">
        <v>180</v>
      </c>
      <c r="F11">
        <f t="shared" si="0"/>
        <v>250</v>
      </c>
    </row>
    <row r="12" spans="4:6" x14ac:dyDescent="0.25">
      <c r="D12" s="249">
        <v>47224</v>
      </c>
      <c r="E12">
        <v>180</v>
      </c>
      <c r="F12">
        <f t="shared" si="0"/>
        <v>250</v>
      </c>
    </row>
    <row r="13" spans="4:6" x14ac:dyDescent="0.25">
      <c r="D13" s="249">
        <v>47407</v>
      </c>
      <c r="E13">
        <v>180</v>
      </c>
      <c r="F13">
        <f>ROUND($E$2*$D$2*E13/360,5)+E2</f>
        <v>10250</v>
      </c>
    </row>
    <row r="15" spans="4:6" x14ac:dyDescent="0.25">
      <c r="E15" t="s">
        <v>339</v>
      </c>
      <c r="F15" s="248">
        <f>IRR(F3:F13,0)</f>
        <v>2.499999999995306E-2</v>
      </c>
    </row>
    <row r="16" spans="4:6" x14ac:dyDescent="0.25">
      <c r="E16" t="s">
        <v>338</v>
      </c>
      <c r="F16" s="247">
        <f>XIRR(F3:F13,D3:D13,0)</f>
        <v>5.0599438476562494E-2</v>
      </c>
    </row>
  </sheetData>
  <sheetProtection algorithmName="SHA-512" hashValue="gtpee1tk8+jAE8ozXshMqtChqDG1BuZkx8verjf9cRJmSmz/oUVG4Zg8xah6Azeb+SNNCVnZzuJOMJQIYNyygw==" saltValue="iJYHTJWjYEaopZo7FFlnl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780A0-64B5-4781-B2C6-D703E3D54D97}">
  <sheetPr>
    <pageSetUpPr fitToPage="1"/>
  </sheetPr>
  <dimension ref="A1:XFD200"/>
  <sheetViews>
    <sheetView showGridLines="0" zoomScale="90" zoomScaleNormal="90" workbookViewId="0">
      <selection activeCell="G11" sqref="G11:I11"/>
    </sheetView>
  </sheetViews>
  <sheetFormatPr defaultColWidth="9.140625" defaultRowHeight="15" x14ac:dyDescent="0.25"/>
  <cols>
    <col min="1" max="1" width="9.140625" style="1" customWidth="1"/>
    <col min="2" max="2" width="6.140625" style="1" customWidth="1"/>
    <col min="3" max="3" width="9.140625" style="1" customWidth="1"/>
    <col min="4" max="4" width="9.140625" style="1" hidden="1" customWidth="1"/>
    <col min="5" max="5" width="3.7109375" style="62" hidden="1" customWidth="1"/>
    <col min="6" max="6" width="19.7109375" style="62" customWidth="1"/>
    <col min="7" max="7" width="19.85546875" style="62" customWidth="1"/>
    <col min="8" max="8" width="12.140625" style="62" bestFit="1" customWidth="1"/>
    <col min="9" max="9" width="20.5703125" style="62" bestFit="1" customWidth="1"/>
    <col min="10" max="10" width="14.28515625" style="62" bestFit="1" customWidth="1"/>
    <col min="11" max="11" width="18.28515625" style="1" customWidth="1"/>
    <col min="12" max="12" width="20.42578125" style="1" customWidth="1"/>
    <col min="13" max="13" width="11.5703125" style="1" bestFit="1" customWidth="1"/>
    <col min="14" max="14" width="22.42578125" style="1" customWidth="1"/>
    <col min="15" max="17" width="9.140625" style="1"/>
    <col min="18" max="18" width="9.42578125" style="1" bestFit="1" customWidth="1"/>
    <col min="19" max="16384" width="9.140625" style="1"/>
  </cols>
  <sheetData>
    <row r="1" spans="1:14 16373:16384" ht="21.6" customHeight="1" x14ac:dyDescent="0.25">
      <c r="A1" s="1" t="str">
        <f>IF(TIR!B4="FOLHA (CAS)","","ATENÇÃO")</f>
        <v>ATENÇÃO</v>
      </c>
      <c r="F1" s="557" t="str">
        <f>F15</f>
        <v>Obrigações Mota-Engil 2029</v>
      </c>
      <c r="G1" s="557"/>
      <c r="H1" s="557"/>
      <c r="I1" s="557"/>
      <c r="J1" s="557"/>
      <c r="K1" s="557"/>
      <c r="L1" s="557"/>
      <c r="M1" s="557"/>
      <c r="N1" s="557"/>
      <c r="XFB1" s="2" t="s">
        <v>55</v>
      </c>
      <c r="XFC1" s="2"/>
      <c r="XFD1" s="2" t="s">
        <v>55</v>
      </c>
    </row>
    <row r="2" spans="1:14 16373:16384" ht="21" customHeight="1" x14ac:dyDescent="0.25">
      <c r="F2" s="557"/>
      <c r="G2" s="557"/>
      <c r="H2" s="557"/>
      <c r="I2" s="557"/>
      <c r="J2" s="557"/>
      <c r="K2" s="557"/>
      <c r="L2" s="557"/>
      <c r="M2" s="557"/>
      <c r="N2" s="557"/>
      <c r="XFB2" s="2" t="s">
        <v>92</v>
      </c>
      <c r="XFC2" s="2"/>
      <c r="XFD2" s="2" t="s">
        <v>49</v>
      </c>
    </row>
    <row r="3" spans="1:14 16373:16384" ht="21" customHeight="1" x14ac:dyDescent="0.25">
      <c r="F3" s="557"/>
      <c r="G3" s="557"/>
      <c r="H3" s="557"/>
      <c r="I3" s="557"/>
      <c r="J3" s="557"/>
      <c r="K3" s="557"/>
      <c r="L3" s="557"/>
      <c r="M3" s="557"/>
      <c r="N3" s="557"/>
      <c r="XFB3" s="2" t="s">
        <v>93</v>
      </c>
      <c r="XFC3" s="2"/>
      <c r="XFD3" s="2" t="s">
        <v>53</v>
      </c>
    </row>
    <row r="4" spans="1:14 16373:16384" ht="21" customHeight="1" x14ac:dyDescent="0.25">
      <c r="F4" s="557"/>
      <c r="G4" s="557"/>
      <c r="H4" s="557"/>
      <c r="I4" s="557"/>
      <c r="J4" s="557"/>
      <c r="K4" s="557"/>
      <c r="L4" s="557"/>
      <c r="M4" s="557"/>
      <c r="N4" s="557"/>
    </row>
    <row r="5" spans="1:14 16373:16384" ht="21" customHeight="1" x14ac:dyDescent="0.25">
      <c r="F5" s="557"/>
      <c r="G5" s="557"/>
      <c r="H5" s="557"/>
      <c r="I5" s="557"/>
      <c r="J5" s="557"/>
      <c r="K5" s="557"/>
      <c r="L5" s="557"/>
      <c r="M5" s="557"/>
      <c r="N5" s="557"/>
    </row>
    <row r="6" spans="1:14 16373:16384" x14ac:dyDescent="0.25">
      <c r="F6" s="420" t="s">
        <v>79</v>
      </c>
      <c r="G6" s="420"/>
      <c r="H6" s="420"/>
      <c r="I6" s="420"/>
      <c r="J6" s="420"/>
      <c r="K6" s="420"/>
      <c r="L6" s="420"/>
      <c r="M6" s="420"/>
      <c r="N6" s="420"/>
    </row>
    <row r="7" spans="1:14 16373:16384" ht="15.75" x14ac:dyDescent="0.25">
      <c r="F7" s="421" t="s">
        <v>95</v>
      </c>
      <c r="G7" s="421"/>
      <c r="H7" s="421"/>
      <c r="I7" s="421"/>
      <c r="K7" s="406" t="s">
        <v>59</v>
      </c>
      <c r="L7" s="406"/>
      <c r="M7" s="406"/>
      <c r="N7" s="406"/>
    </row>
    <row r="8" spans="1:14 16373:16384" ht="7.5" customHeight="1" thickBot="1" x14ac:dyDescent="0.3">
      <c r="F8" s="1"/>
      <c r="G8" s="1"/>
      <c r="H8" s="1"/>
      <c r="I8" s="1"/>
    </row>
    <row r="9" spans="1:14 16373:16384" ht="25.5" customHeight="1" thickTop="1" thickBot="1" x14ac:dyDescent="0.3">
      <c r="F9" s="390" t="s">
        <v>144</v>
      </c>
      <c r="G9" s="391"/>
      <c r="H9" s="391"/>
      <c r="I9" s="392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25">
      <c r="K10" s="67"/>
      <c r="L10" s="67"/>
      <c r="M10" s="67"/>
      <c r="N10" s="67"/>
    </row>
    <row r="11" spans="1:14 16373:16384" ht="25.5" customHeight="1" x14ac:dyDescent="0.25">
      <c r="F11" s="76" t="s">
        <v>56</v>
      </c>
      <c r="G11" s="389" t="s">
        <v>224</v>
      </c>
      <c r="H11" s="389"/>
      <c r="I11" s="389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25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25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">
      <c r="F15" s="396" t="str">
        <f>TIR!B7</f>
        <v>Obrigações Mota-Engil 2029</v>
      </c>
      <c r="G15" s="397"/>
      <c r="H15" s="397"/>
      <c r="I15" s="398"/>
      <c r="K15" s="105" t="s">
        <v>77</v>
      </c>
      <c r="L15" s="72">
        <f>IF(G11="","",IF(G13="","",IF(I13="","",IF(H25="A PREENCHER","",IF(H27="A PREENCHER","",IF(H27="FALSO","-",TIR!L247))))))</f>
        <v>-150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-34.6</v>
      </c>
    </row>
    <row r="16" spans="1:14 16373:16384" ht="7.5" customHeight="1" thickTop="1" x14ac:dyDescent="0.25">
      <c r="K16" s="95"/>
      <c r="L16" s="67"/>
      <c r="M16" s="67"/>
      <c r="N16" s="71"/>
    </row>
    <row r="17" spans="6:14" ht="30" customHeight="1" x14ac:dyDescent="0.25">
      <c r="F17" s="401" t="s">
        <v>54</v>
      </c>
      <c r="G17" s="402"/>
      <c r="H17" s="399">
        <v>1500</v>
      </c>
      <c r="I17" s="40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25">
      <c r="F18" s="97"/>
      <c r="G18" s="97"/>
      <c r="K18" s="94"/>
      <c r="L18" s="67"/>
      <c r="M18" s="67"/>
      <c r="N18" s="71"/>
    </row>
    <row r="19" spans="6:14" x14ac:dyDescent="0.25">
      <c r="F19" s="395" t="s">
        <v>58</v>
      </c>
      <c r="G19" s="395"/>
      <c r="H19" s="393">
        <f>IF(G11="","",IF(G13="","",IF(I13="","",IF(H25="A PREENCHER","",IF(H27="A PREENCHER","",TIR!B36)))))</f>
        <v>10</v>
      </c>
      <c r="I19" s="394"/>
      <c r="K19" s="106" t="s">
        <v>85</v>
      </c>
      <c r="L19" s="232">
        <f>IF(G11="","",IF(G13="","",IF(I13="","",IF(H25="A PREENCHER","",IF(H27="A PREENCHER","",SUM(L11:L17))))))</f>
        <v>-225</v>
      </c>
      <c r="M19" s="233">
        <f>IF(G11="","",IF(G13="","",IF(I13="","",IF(H25="A PREENCHER","",IF(H27="A PREENCHER","",SUM(M11:M17))))))</f>
        <v>-0.5</v>
      </c>
      <c r="N19" s="234">
        <f>IF(G11="","",IF(G13="","",IF(I13="","",IF(H25="A PREENCHER","",IF(H27="A PREENCHER","",SUM(N11:N17))))))</f>
        <v>-48.980000000000004</v>
      </c>
    </row>
    <row r="20" spans="6:14" ht="7.5" customHeight="1" x14ac:dyDescent="0.25">
      <c r="F20" s="97"/>
      <c r="G20" s="97"/>
      <c r="K20" s="103"/>
      <c r="L20" s="103"/>
      <c r="M20" s="103"/>
      <c r="N20" s="103"/>
    </row>
    <row r="21" spans="6:14" ht="18" customHeight="1" x14ac:dyDescent="0.25">
      <c r="F21" s="395" t="s">
        <v>81</v>
      </c>
      <c r="G21" s="395"/>
      <c r="H21" s="444">
        <f>IF(G11="","",IF(G13="","",IF(I13="","",IF(H25="A PREENCHER","",IF(H27="A PREENCHER","",TIR!B8)))))</f>
        <v>0.05</v>
      </c>
      <c r="I21" s="445"/>
      <c r="K21" s="406" t="s">
        <v>89</v>
      </c>
      <c r="L21" s="406"/>
      <c r="M21" s="406"/>
      <c r="N21" s="406"/>
    </row>
    <row r="22" spans="6:14" ht="7.5" customHeight="1" x14ac:dyDescent="0.25">
      <c r="F22" s="97"/>
      <c r="G22" s="97"/>
    </row>
    <row r="23" spans="6:14" ht="15" customHeight="1" x14ac:dyDescent="0.25">
      <c r="F23" s="395" t="s">
        <v>2</v>
      </c>
      <c r="G23" s="395"/>
      <c r="H23" s="393" t="str">
        <f>IF(G11="","",IF(G13="","",IF(I13="","",IF(H25="A PREENCHER","",IF(H27="A PREENCHER","",'Mota Engil 2024-2029'!E20)))))</f>
        <v>5 anos</v>
      </c>
      <c r="I23" s="394"/>
      <c r="K23" s="407" t="s">
        <v>83</v>
      </c>
      <c r="L23" s="408"/>
      <c r="M23" s="454">
        <f>IF(G11="","",IF(G13="","",IF(I13="","",IF(H25="A PREENCHER","",IF(H27="A PREENCHER","",H17)))))</f>
        <v>1500</v>
      </c>
      <c r="N23" s="455"/>
    </row>
    <row r="24" spans="6:14" ht="7.5" customHeight="1" x14ac:dyDescent="0.25">
      <c r="F24" s="97"/>
      <c r="G24" s="97"/>
      <c r="K24" s="94"/>
      <c r="L24" s="96"/>
      <c r="M24" s="67"/>
      <c r="N24" s="71"/>
    </row>
    <row r="25" spans="6:14" ht="22.5" customHeight="1" x14ac:dyDescent="0.25">
      <c r="F25" s="450" t="s">
        <v>47</v>
      </c>
      <c r="G25" s="451"/>
      <c r="H25" s="448" t="s">
        <v>49</v>
      </c>
      <c r="I25" s="449"/>
      <c r="K25" s="409" t="s">
        <v>84</v>
      </c>
      <c r="L25" s="410"/>
      <c r="M25" s="442">
        <f>IF(G11="","",IF(G13="","",IF(I13="","",IF(H25="A PREENCHER","",IF(H27="A PREENCHER","",TIR!H247)))))</f>
        <v>625</v>
      </c>
      <c r="N25" s="443"/>
    </row>
    <row r="26" spans="6:14" ht="7.5" customHeight="1" x14ac:dyDescent="0.25">
      <c r="F26" s="97"/>
      <c r="G26" s="97"/>
      <c r="K26" s="95"/>
      <c r="L26" s="67"/>
      <c r="M26" s="67"/>
      <c r="N26" s="71"/>
    </row>
    <row r="27" spans="6:14" ht="37.15" customHeight="1" x14ac:dyDescent="0.25">
      <c r="F27" s="452" t="s">
        <v>91</v>
      </c>
      <c r="G27" s="453"/>
      <c r="H27" s="448" t="s">
        <v>92</v>
      </c>
      <c r="I27" s="449"/>
      <c r="K27" s="409" t="str">
        <f>IF(H27="A PREENCHER","",H25&amp;" sobre os Juros ("&amp;TIR!C37&amp;")")</f>
        <v>IRS sobre os Juros (0,28)</v>
      </c>
      <c r="L27" s="410"/>
      <c r="M27" s="442">
        <f>IF(G11="","",IF(G13="","",IF(I13="","",IF(H25="A PREENCHER","",IF(H27="A PREENCHER","",TIR!I247)))))</f>
        <v>-175</v>
      </c>
      <c r="N27" s="443"/>
    </row>
    <row r="28" spans="6:14" ht="7.5" customHeight="1" x14ac:dyDescent="0.25">
      <c r="F28" s="446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46"/>
      <c r="H28" s="446"/>
      <c r="I28" s="446"/>
      <c r="K28" s="95"/>
      <c r="L28" s="67"/>
      <c r="M28" s="67"/>
      <c r="N28" s="71"/>
    </row>
    <row r="29" spans="6:14" ht="22.5" customHeight="1" x14ac:dyDescent="0.25">
      <c r="F29" s="447"/>
      <c r="G29" s="447"/>
      <c r="H29" s="447"/>
      <c r="I29" s="447"/>
      <c r="K29" s="456" t="str">
        <f>"Total de Impostos ("&amp;H25&amp;"; "&amp;M9&amp;"; "&amp;N9&amp;")"</f>
        <v>Total de Impostos (IRS; Imp. Selo; IVA)</v>
      </c>
      <c r="L29" s="457"/>
      <c r="M29" s="442">
        <f>M27+M19+N19</f>
        <v>-224.48000000000002</v>
      </c>
      <c r="N29" s="443"/>
    </row>
    <row r="30" spans="6:14" ht="7.5" customHeight="1" x14ac:dyDescent="0.25">
      <c r="F30" s="433" t="s">
        <v>90</v>
      </c>
      <c r="G30" s="434"/>
      <c r="H30" s="424">
        <f ca="1">IF(G11="","",IF(G13="","",IF(I13="","",IF(H25="A PREENCHER","",IF(H27="A PREENCHER","",TIR!G255)))))</f>
        <v>1.404671E-2</v>
      </c>
      <c r="I30" s="425"/>
      <c r="J30" s="98"/>
      <c r="K30" s="95"/>
      <c r="L30" s="67"/>
      <c r="M30" s="67"/>
      <c r="N30" s="71"/>
    </row>
    <row r="31" spans="6:14" ht="22.5" customHeight="1" x14ac:dyDescent="0.25">
      <c r="F31" s="435"/>
      <c r="G31" s="380"/>
      <c r="H31" s="369"/>
      <c r="I31" s="374"/>
      <c r="J31" s="98"/>
      <c r="K31" s="427" t="s">
        <v>86</v>
      </c>
      <c r="L31" s="428"/>
      <c r="M31" s="429">
        <f>IF(G11="","",IF(G13="","",IF(I13="","",IF(H25="A PREENCHER","",IF(H27="A PREENCHER","",L19+M19+N19)))))</f>
        <v>-274.48</v>
      </c>
      <c r="N31" s="430"/>
    </row>
    <row r="32" spans="6:14" ht="7.5" customHeight="1" x14ac:dyDescent="0.25">
      <c r="F32" s="435"/>
      <c r="G32" s="380"/>
      <c r="H32" s="369"/>
      <c r="I32" s="374"/>
      <c r="J32" s="98"/>
      <c r="K32" s="101"/>
      <c r="L32" s="99"/>
      <c r="M32" s="99"/>
      <c r="N32" s="100"/>
    </row>
    <row r="33" spans="6:15" ht="27.75" customHeight="1" x14ac:dyDescent="0.25">
      <c r="F33" s="558" t="s">
        <v>96</v>
      </c>
      <c r="G33" s="559"/>
      <c r="H33" s="369"/>
      <c r="I33" s="374"/>
      <c r="J33" s="98"/>
      <c r="K33" s="404" t="s">
        <v>94</v>
      </c>
      <c r="L33" s="405"/>
      <c r="M33" s="431">
        <f>IF(G11="","",IF(G13="","",IF(I13="","",IF(H25="A PREENCHER","",IF(H27="A PREENCHER","",M25+M27+M31)))))</f>
        <v>175.51999999999998</v>
      </c>
      <c r="N33" s="432"/>
    </row>
    <row r="34" spans="6:15" ht="20.25" customHeight="1" x14ac:dyDescent="0.25">
      <c r="F34" s="438" t="str">
        <f>"Período de Subscrição: Entre as "&amp;'Mota Engil 2024-2029'!E28</f>
        <v>Período de Subscrição: Entre as 08:30h do dia 30/09/2024 ás 15:00h do dia 11/10/2024</v>
      </c>
      <c r="G34" s="438"/>
      <c r="H34" s="438"/>
      <c r="I34" s="438"/>
      <c r="J34" s="438"/>
      <c r="K34" s="438"/>
      <c r="L34" s="438"/>
      <c r="M34" s="438"/>
      <c r="N34" s="438"/>
    </row>
    <row r="35" spans="6:15" x14ac:dyDescent="0.25">
      <c r="F35" s="437" t="s">
        <v>61</v>
      </c>
      <c r="G35" s="437"/>
      <c r="H35" s="437"/>
      <c r="I35" s="437"/>
      <c r="J35" s="437"/>
      <c r="K35" s="437"/>
      <c r="L35" s="437"/>
      <c r="M35" s="437"/>
      <c r="N35" s="437"/>
    </row>
    <row r="36" spans="6:15" ht="7.5" customHeight="1" x14ac:dyDescent="0.25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" customHeight="1" x14ac:dyDescent="0.25">
      <c r="F37" s="361" t="s">
        <v>258</v>
      </c>
      <c r="G37" s="361"/>
      <c r="H37" s="361"/>
      <c r="I37" s="361"/>
      <c r="J37" s="361"/>
      <c r="K37" s="361"/>
      <c r="L37" s="361"/>
      <c r="M37" s="361"/>
      <c r="N37" s="361"/>
      <c r="O37" s="361"/>
    </row>
    <row r="38" spans="6:15" ht="13.9" customHeight="1" x14ac:dyDescent="0.25">
      <c r="F38" s="361"/>
      <c r="G38" s="361"/>
      <c r="H38" s="361"/>
      <c r="I38" s="361"/>
      <c r="J38" s="361"/>
      <c r="K38" s="361"/>
      <c r="L38" s="361"/>
      <c r="M38" s="361"/>
      <c r="N38" s="361"/>
      <c r="O38" s="361"/>
    </row>
    <row r="39" spans="6:15" ht="13.9" customHeight="1" thickBot="1" x14ac:dyDescent="0.3">
      <c r="F39" s="64"/>
      <c r="G39" s="64"/>
      <c r="H39" s="64"/>
      <c r="I39" s="64"/>
    </row>
    <row r="40" spans="6:15" ht="46.9" customHeight="1" x14ac:dyDescent="0.25">
      <c r="F40" s="216" t="s">
        <v>259</v>
      </c>
      <c r="G40" s="440" t="s">
        <v>266</v>
      </c>
      <c r="H40" s="440"/>
      <c r="I40" s="440" t="s">
        <v>261</v>
      </c>
      <c r="J40" s="458"/>
      <c r="K40" s="440" t="s">
        <v>267</v>
      </c>
      <c r="L40" s="440"/>
      <c r="M40" s="440" t="s">
        <v>260</v>
      </c>
      <c r="N40" s="458"/>
    </row>
    <row r="41" spans="6:15" ht="31.15" customHeight="1" thickBot="1" x14ac:dyDescent="0.3">
      <c r="F41" s="217">
        <f>H17</f>
        <v>1500</v>
      </c>
      <c r="G41" s="441">
        <f>L11+M11+L17+N17</f>
        <v>-28.38</v>
      </c>
      <c r="H41" s="441"/>
      <c r="I41" s="459">
        <f>G41/F41</f>
        <v>-1.8919999999999999E-2</v>
      </c>
      <c r="J41" s="460"/>
      <c r="K41" s="441">
        <f>IF(H27="A PREENCHER","",IF(H27="FALSO",(L13+N13),(L13+N13+L15+N15)))</f>
        <v>-246.1</v>
      </c>
      <c r="L41" s="441"/>
      <c r="M41" s="459">
        <f>IF(K41="","",(K41/F41))</f>
        <v>-0.16406666666666667</v>
      </c>
      <c r="N41" s="460"/>
    </row>
    <row r="42" spans="6:15" ht="13.9" customHeight="1" x14ac:dyDescent="0.25">
      <c r="F42" s="64"/>
      <c r="G42" s="64"/>
      <c r="H42" s="64"/>
      <c r="I42" s="64"/>
    </row>
    <row r="43" spans="6:15" ht="13.9" customHeight="1" x14ac:dyDescent="0.25">
      <c r="F43" s="388" t="s">
        <v>268</v>
      </c>
      <c r="G43" s="388"/>
      <c r="H43" s="388"/>
      <c r="I43" s="388"/>
      <c r="J43" s="388"/>
      <c r="K43" s="388"/>
      <c r="L43" s="388"/>
      <c r="M43" s="388"/>
      <c r="N43" s="388"/>
      <c r="O43" s="388"/>
    </row>
    <row r="44" spans="6:15" ht="13.9" customHeight="1" x14ac:dyDescent="0.25">
      <c r="F44" s="388" t="s">
        <v>269</v>
      </c>
      <c r="G44" s="388"/>
      <c r="H44" s="388"/>
      <c r="I44" s="388"/>
      <c r="J44" s="388"/>
      <c r="K44" s="388"/>
      <c r="L44" s="388"/>
      <c r="M44" s="388"/>
      <c r="N44" s="388"/>
      <c r="O44" s="388"/>
    </row>
    <row r="45" spans="6:15" ht="13.9" customHeight="1" x14ac:dyDescent="0.25">
      <c r="F45" s="64"/>
      <c r="G45" s="64"/>
      <c r="H45" s="64"/>
      <c r="I45" s="64"/>
    </row>
    <row r="46" spans="6:15" ht="13.9" customHeight="1" x14ac:dyDescent="0.25">
      <c r="F46" s="361" t="s">
        <v>256</v>
      </c>
      <c r="G46" s="361"/>
      <c r="H46" s="361"/>
      <c r="I46" s="361"/>
      <c r="J46" s="361"/>
      <c r="K46" s="361"/>
      <c r="L46" s="361"/>
      <c r="M46" s="361"/>
      <c r="N46" s="361"/>
      <c r="O46" s="361"/>
    </row>
    <row r="47" spans="6:15" ht="13.9" customHeight="1" x14ac:dyDescent="0.25">
      <c r="F47" s="361"/>
      <c r="G47" s="361"/>
      <c r="H47" s="361"/>
      <c r="I47" s="361"/>
      <c r="J47" s="361"/>
      <c r="K47" s="361"/>
      <c r="L47" s="361"/>
      <c r="M47" s="361"/>
      <c r="N47" s="361"/>
      <c r="O47" s="361"/>
    </row>
    <row r="48" spans="6:15" ht="13.9" customHeight="1" thickBot="1" x14ac:dyDescent="0.3">
      <c r="F48" s="64"/>
      <c r="G48" s="64"/>
      <c r="H48" s="64"/>
      <c r="I48" s="64"/>
    </row>
    <row r="49" spans="6:14" ht="13.9" customHeight="1" x14ac:dyDescent="0.25">
      <c r="F49" s="376" t="s">
        <v>247</v>
      </c>
      <c r="G49" s="377"/>
      <c r="H49" s="377"/>
      <c r="I49" s="378"/>
      <c r="J49" s="367">
        <f ca="1">IF(G11="","",IF(G13="","",IF(I13="","",IF(H25="A PREENCHER","",IF(H27="A PREENCHER","",TIR!G261)))))</f>
        <v>3.2154599999999998E-2</v>
      </c>
      <c r="K49" s="373"/>
      <c r="L49" s="364" t="s">
        <v>248</v>
      </c>
      <c r="M49" s="367">
        <f ca="1">IF(G11="","",IF(G13="","",IF(I13="","",IF(H25="A PREENCHER","",IF(H27="A PREENCHER","",TIR!G267)))))</f>
        <v>-0.56315084000422955</v>
      </c>
      <c r="N49" s="368"/>
    </row>
    <row r="50" spans="6:14" ht="13.9" customHeight="1" x14ac:dyDescent="0.25">
      <c r="F50" s="379"/>
      <c r="G50" s="380"/>
      <c r="H50" s="380"/>
      <c r="I50" s="381"/>
      <c r="J50" s="369"/>
      <c r="K50" s="374"/>
      <c r="L50" s="365"/>
      <c r="M50" s="369"/>
      <c r="N50" s="370"/>
    </row>
    <row r="51" spans="6:14" ht="13.9" customHeight="1" x14ac:dyDescent="0.25">
      <c r="F51" s="379"/>
      <c r="G51" s="380"/>
      <c r="H51" s="380"/>
      <c r="I51" s="381"/>
      <c r="J51" s="369"/>
      <c r="K51" s="374"/>
      <c r="L51" s="365"/>
      <c r="M51" s="369"/>
      <c r="N51" s="370"/>
    </row>
    <row r="52" spans="6:14" ht="22.9" customHeight="1" thickBot="1" x14ac:dyDescent="0.3">
      <c r="F52" s="382" t="s">
        <v>96</v>
      </c>
      <c r="G52" s="383"/>
      <c r="H52" s="383"/>
      <c r="I52" s="384"/>
      <c r="J52" s="371"/>
      <c r="K52" s="375"/>
      <c r="L52" s="366"/>
      <c r="M52" s="371"/>
      <c r="N52" s="372"/>
    </row>
    <row r="53" spans="6:14" ht="13.9" customHeight="1" x14ac:dyDescent="0.25">
      <c r="F53" s="64"/>
      <c r="G53" s="64"/>
      <c r="H53" s="64"/>
      <c r="I53" s="64"/>
    </row>
    <row r="54" spans="6:14" ht="15.6" customHeight="1" x14ac:dyDescent="0.25">
      <c r="F54" s="439">
        <f ca="1">IF(TODAY()&lt;'Mota Engil 2024-2029'!B25,'Mota Engil 2024-2029'!B25,TODAY())</f>
        <v>45565</v>
      </c>
      <c r="G54" s="439"/>
      <c r="H54" s="439"/>
      <c r="I54" s="439"/>
      <c r="J54" s="439"/>
      <c r="K54" s="439"/>
      <c r="L54" s="439"/>
      <c r="M54" s="439"/>
      <c r="N54" s="439"/>
    </row>
    <row r="55" spans="6:14" ht="7.5" customHeight="1" x14ac:dyDescent="0.25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75" x14ac:dyDescent="0.25">
      <c r="L56" s="406"/>
      <c r="M56" s="406"/>
    </row>
    <row r="57" spans="6:14" ht="15" customHeight="1" x14ac:dyDescent="0.25">
      <c r="G57" s="406"/>
      <c r="H57" s="406"/>
      <c r="L57" s="64"/>
      <c r="M57" s="64"/>
    </row>
    <row r="58" spans="6:14" x14ac:dyDescent="0.25">
      <c r="G58" s="64"/>
      <c r="L58" s="64"/>
      <c r="M58" s="64"/>
    </row>
    <row r="59" spans="6:14" ht="7.5" customHeight="1" x14ac:dyDescent="0.25">
      <c r="G59" s="64"/>
      <c r="L59" s="64"/>
      <c r="M59" s="64"/>
    </row>
    <row r="60" spans="6:14" ht="15" customHeight="1" x14ac:dyDescent="0.25">
      <c r="G60" s="426"/>
      <c r="H60" s="426"/>
      <c r="K60" s="436"/>
      <c r="L60" s="436"/>
      <c r="M60" s="436"/>
      <c r="N60" s="436"/>
    </row>
    <row r="61" spans="6:14" ht="25.5" x14ac:dyDescent="0.35">
      <c r="G61" s="64"/>
      <c r="K61" s="385"/>
      <c r="L61" s="385"/>
      <c r="M61" s="385"/>
      <c r="N61" s="385"/>
    </row>
    <row r="62" spans="6:14" x14ac:dyDescent="0.25">
      <c r="L62" s="386"/>
      <c r="M62" s="386"/>
    </row>
    <row r="63" spans="6:14" x14ac:dyDescent="0.25">
      <c r="F63" s="403"/>
      <c r="G63" s="403"/>
      <c r="H63" s="403"/>
      <c r="I63" s="403"/>
      <c r="J63" s="403"/>
      <c r="K63" s="403"/>
      <c r="L63" s="403"/>
      <c r="M63" s="403"/>
      <c r="N63" s="403"/>
    </row>
    <row r="65" spans="6:15" ht="31.5" customHeight="1" x14ac:dyDescent="0.25">
      <c r="F65" s="1"/>
      <c r="G65" s="1"/>
      <c r="H65" s="1"/>
      <c r="I65" s="1"/>
    </row>
    <row r="66" spans="6:15" ht="24" customHeight="1" x14ac:dyDescent="0.25">
      <c r="F66" s="1"/>
      <c r="G66" s="1"/>
      <c r="H66" s="1"/>
      <c r="I66" s="1"/>
    </row>
    <row r="67" spans="6:15" ht="7.5" customHeight="1" x14ac:dyDescent="0.25"/>
    <row r="68" spans="6:15" ht="27" customHeight="1" x14ac:dyDescent="0.25">
      <c r="F68" s="1"/>
      <c r="G68" s="1"/>
      <c r="H68" s="1"/>
      <c r="I68" s="1"/>
      <c r="J68" s="1"/>
    </row>
    <row r="69" spans="6:15" ht="15" customHeight="1" x14ac:dyDescent="0.25">
      <c r="F69" s="1"/>
      <c r="G69" s="1"/>
      <c r="H69" s="1"/>
      <c r="I69" s="1"/>
      <c r="J69" s="1"/>
    </row>
    <row r="70" spans="6:15" ht="13.9" customHeight="1" x14ac:dyDescent="0.25">
      <c r="F70" s="64"/>
      <c r="G70" s="64"/>
      <c r="H70" s="64"/>
      <c r="I70" s="64"/>
    </row>
    <row r="71" spans="6:15" ht="13.9" customHeight="1" x14ac:dyDescent="0.25"/>
    <row r="72" spans="6:15" ht="13.9" customHeight="1" x14ac:dyDescent="0.25">
      <c r="F72" s="361" t="s">
        <v>257</v>
      </c>
      <c r="G72" s="361"/>
      <c r="H72" s="361"/>
      <c r="I72" s="361"/>
      <c r="J72" s="361"/>
      <c r="K72" s="361"/>
      <c r="L72" s="361"/>
      <c r="M72" s="361"/>
      <c r="N72" s="361"/>
      <c r="O72" s="361"/>
    </row>
    <row r="73" spans="6:15" ht="13.9" customHeight="1" x14ac:dyDescent="0.25">
      <c r="F73" s="361"/>
      <c r="G73" s="361"/>
      <c r="H73" s="361"/>
      <c r="I73" s="361"/>
      <c r="J73" s="361"/>
      <c r="K73" s="361"/>
      <c r="L73" s="361"/>
      <c r="M73" s="361"/>
      <c r="N73" s="361"/>
      <c r="O73" s="361"/>
    </row>
    <row r="74" spans="6:15" ht="13.9" customHeight="1" x14ac:dyDescent="0.25"/>
    <row r="75" spans="6:15" ht="13.9" customHeight="1" x14ac:dyDescent="0.25">
      <c r="F75" s="358" t="s">
        <v>62</v>
      </c>
      <c r="G75" s="363" t="s">
        <v>252</v>
      </c>
      <c r="H75" s="363"/>
      <c r="I75" s="363"/>
      <c r="J75" s="362" t="s">
        <v>39</v>
      </c>
      <c r="K75" s="362"/>
      <c r="L75" s="362"/>
      <c r="M75" s="362"/>
      <c r="N75" s="359" t="s">
        <v>77</v>
      </c>
      <c r="O75" s="359"/>
    </row>
    <row r="76" spans="6:15" ht="13.9" customHeight="1" x14ac:dyDescent="0.25">
      <c r="F76" s="358"/>
      <c r="G76" s="213" t="s">
        <v>41</v>
      </c>
      <c r="H76" s="213" t="str">
        <f>TIR!F202</f>
        <v>Comissão</v>
      </c>
      <c r="I76" s="213" t="s">
        <v>250</v>
      </c>
      <c r="J76" s="211" t="s">
        <v>254</v>
      </c>
      <c r="K76" s="212" t="s">
        <v>255</v>
      </c>
      <c r="L76" s="212" t="str">
        <f>TIR!J202</f>
        <v>Comissão</v>
      </c>
      <c r="M76" s="212" t="str">
        <f>TIR!K202</f>
        <v>IVA</v>
      </c>
      <c r="N76" s="214" t="s">
        <v>42</v>
      </c>
      <c r="O76" s="214" t="str">
        <f>TIR!M202</f>
        <v>IVA</v>
      </c>
    </row>
    <row r="77" spans="6:15" ht="13.9" customHeight="1" x14ac:dyDescent="0.25">
      <c r="F77" s="202">
        <f>TIR!D203</f>
        <v>45581</v>
      </c>
      <c r="G77" s="203">
        <f>TIR!U203</f>
        <v>-2500</v>
      </c>
      <c r="H77" s="203">
        <f>TIR!V203</f>
        <v>-12.5</v>
      </c>
      <c r="I77" s="203">
        <f>TIR!W203</f>
        <v>-0.5</v>
      </c>
      <c r="J77" s="204">
        <f>TIR!H203</f>
        <v>0</v>
      </c>
      <c r="K77" s="204">
        <f>TIR!I203</f>
        <v>0</v>
      </c>
      <c r="L77" s="204">
        <f>TIR!J203</f>
        <v>0</v>
      </c>
      <c r="M77" s="204">
        <f>TIR!K203</f>
        <v>0</v>
      </c>
      <c r="N77" s="215">
        <f>TIR!L203</f>
        <v>0</v>
      </c>
      <c r="O77" s="215">
        <f>TIR!M203</f>
        <v>0</v>
      </c>
    </row>
    <row r="78" spans="6:15" ht="13.9" customHeight="1" x14ac:dyDescent="0.25">
      <c r="F78" s="202">
        <f>TIR!D204</f>
        <v>45658</v>
      </c>
      <c r="G78" s="203">
        <f>TIR!U204</f>
        <v>0</v>
      </c>
      <c r="H78" s="203">
        <f>TIR!V204</f>
        <v>0</v>
      </c>
      <c r="I78" s="203">
        <f>TIR!W204</f>
        <v>0</v>
      </c>
      <c r="J78" s="204">
        <f>TIR!H204</f>
        <v>0</v>
      </c>
      <c r="K78" s="204">
        <f>TIR!I204</f>
        <v>0</v>
      </c>
      <c r="L78" s="204">
        <f>TIR!J204</f>
        <v>0</v>
      </c>
      <c r="M78" s="204">
        <f>TIR!K204</f>
        <v>0</v>
      </c>
      <c r="N78" s="215">
        <f>TIR!L204</f>
        <v>-7.5</v>
      </c>
      <c r="O78" s="215">
        <f>TIR!M204</f>
        <v>-1.73</v>
      </c>
    </row>
    <row r="79" spans="6:15" ht="13.9" customHeight="1" x14ac:dyDescent="0.25">
      <c r="F79" s="202">
        <f>TIR!D205</f>
        <v>45748</v>
      </c>
      <c r="G79" s="203">
        <f>TIR!U205</f>
        <v>0</v>
      </c>
      <c r="H79" s="203">
        <f>TIR!V205</f>
        <v>0</v>
      </c>
      <c r="I79" s="203">
        <f>TIR!W205</f>
        <v>0</v>
      </c>
      <c r="J79" s="204">
        <f>TIR!H205</f>
        <v>0</v>
      </c>
      <c r="K79" s="204">
        <f>TIR!I205</f>
        <v>0</v>
      </c>
      <c r="L79" s="204">
        <f>TIR!J205</f>
        <v>0</v>
      </c>
      <c r="M79" s="204">
        <f>TIR!K205</f>
        <v>0</v>
      </c>
      <c r="N79" s="215">
        <f>TIR!L205</f>
        <v>-7.5</v>
      </c>
      <c r="O79" s="215">
        <f>TIR!M205</f>
        <v>-1.73</v>
      </c>
    </row>
    <row r="80" spans="6:15" ht="13.9" customHeight="1" x14ac:dyDescent="0.25">
      <c r="F80" s="202">
        <f>TIR!D206</f>
        <v>45763</v>
      </c>
      <c r="G80" s="203">
        <f>TIR!U206</f>
        <v>0</v>
      </c>
      <c r="H80" s="203">
        <f>TIR!V206</f>
        <v>0</v>
      </c>
      <c r="I80" s="203">
        <f>TIR!W206</f>
        <v>0</v>
      </c>
      <c r="J80" s="204">
        <f>TIR!H206</f>
        <v>62.5</v>
      </c>
      <c r="K80" s="204">
        <f>TIR!I206</f>
        <v>-17.5</v>
      </c>
      <c r="L80" s="204">
        <f>TIR!J206</f>
        <v>-5</v>
      </c>
      <c r="M80" s="204">
        <f>TIR!K206</f>
        <v>-1.1499999999999999</v>
      </c>
      <c r="N80" s="215">
        <f>TIR!L206</f>
        <v>0</v>
      </c>
      <c r="O80" s="215">
        <f>TIR!M206</f>
        <v>0</v>
      </c>
    </row>
    <row r="81" spans="6:15" ht="13.9" customHeight="1" x14ac:dyDescent="0.25">
      <c r="F81" s="202">
        <f>TIR!D207</f>
        <v>45839</v>
      </c>
      <c r="G81" s="203">
        <f>TIR!U207</f>
        <v>0</v>
      </c>
      <c r="H81" s="203">
        <f>TIR!V207</f>
        <v>0</v>
      </c>
      <c r="I81" s="203">
        <f>TIR!W207</f>
        <v>0</v>
      </c>
      <c r="J81" s="204">
        <f>TIR!H207</f>
        <v>0</v>
      </c>
      <c r="K81" s="204">
        <f>TIR!I207</f>
        <v>0</v>
      </c>
      <c r="L81" s="204">
        <f>TIR!J207</f>
        <v>0</v>
      </c>
      <c r="M81" s="204">
        <f>TIR!K207</f>
        <v>0</v>
      </c>
      <c r="N81" s="215">
        <f>TIR!L207</f>
        <v>-7.5</v>
      </c>
      <c r="O81" s="215">
        <f>TIR!M207</f>
        <v>-1.73</v>
      </c>
    </row>
    <row r="82" spans="6:15" ht="13.9" customHeight="1" x14ac:dyDescent="0.25">
      <c r="F82" s="202">
        <f>TIR!D208</f>
        <v>45931</v>
      </c>
      <c r="G82" s="203">
        <f>TIR!U208</f>
        <v>0</v>
      </c>
      <c r="H82" s="203">
        <f>TIR!V208</f>
        <v>0</v>
      </c>
      <c r="I82" s="203">
        <f>TIR!W208</f>
        <v>0</v>
      </c>
      <c r="J82" s="204">
        <f>TIR!H208</f>
        <v>0</v>
      </c>
      <c r="K82" s="204">
        <f>TIR!I208</f>
        <v>0</v>
      </c>
      <c r="L82" s="204">
        <f>TIR!J208</f>
        <v>0</v>
      </c>
      <c r="M82" s="204">
        <f>TIR!K208</f>
        <v>0</v>
      </c>
      <c r="N82" s="215">
        <f>TIR!L208</f>
        <v>-7.5</v>
      </c>
      <c r="O82" s="215">
        <f>TIR!M208</f>
        <v>-1.73</v>
      </c>
    </row>
    <row r="83" spans="6:15" ht="13.9" customHeight="1" x14ac:dyDescent="0.25">
      <c r="F83" s="202">
        <f>TIR!D209</f>
        <v>45946</v>
      </c>
      <c r="G83" s="203">
        <f>TIR!U209</f>
        <v>0</v>
      </c>
      <c r="H83" s="203">
        <f>TIR!V209</f>
        <v>0</v>
      </c>
      <c r="I83" s="203">
        <f>TIR!W209</f>
        <v>0</v>
      </c>
      <c r="J83" s="204">
        <f>TIR!H209</f>
        <v>62.5</v>
      </c>
      <c r="K83" s="204">
        <f>TIR!I209</f>
        <v>-17.5</v>
      </c>
      <c r="L83" s="204">
        <f>TIR!J209</f>
        <v>-5</v>
      </c>
      <c r="M83" s="204">
        <f>TIR!K209</f>
        <v>-1.1499999999999999</v>
      </c>
      <c r="N83" s="215">
        <f>TIR!L209</f>
        <v>0</v>
      </c>
      <c r="O83" s="215">
        <f>TIR!M209</f>
        <v>0</v>
      </c>
    </row>
    <row r="84" spans="6:15" ht="13.9" customHeight="1" x14ac:dyDescent="0.25">
      <c r="F84" s="202">
        <f>TIR!D210</f>
        <v>46023</v>
      </c>
      <c r="G84" s="203">
        <f>TIR!U210</f>
        <v>0</v>
      </c>
      <c r="H84" s="203">
        <f>TIR!V210</f>
        <v>0</v>
      </c>
      <c r="I84" s="203">
        <f>TIR!W210</f>
        <v>0</v>
      </c>
      <c r="J84" s="204">
        <f>TIR!H210</f>
        <v>0</v>
      </c>
      <c r="K84" s="204">
        <f>TIR!I210</f>
        <v>0</v>
      </c>
      <c r="L84" s="204">
        <f>TIR!J210</f>
        <v>0</v>
      </c>
      <c r="M84" s="204">
        <f>TIR!K210</f>
        <v>0</v>
      </c>
      <c r="N84" s="215">
        <f>TIR!L210</f>
        <v>-7.5</v>
      </c>
      <c r="O84" s="215">
        <f>TIR!M210</f>
        <v>-1.73</v>
      </c>
    </row>
    <row r="85" spans="6:15" ht="13.9" customHeight="1" x14ac:dyDescent="0.25">
      <c r="F85" s="202">
        <f>TIR!D211</f>
        <v>46113</v>
      </c>
      <c r="G85" s="203">
        <f>TIR!U211</f>
        <v>0</v>
      </c>
      <c r="H85" s="203">
        <f>TIR!V211</f>
        <v>0</v>
      </c>
      <c r="I85" s="203">
        <f>TIR!W211</f>
        <v>0</v>
      </c>
      <c r="J85" s="204">
        <f>TIR!H211</f>
        <v>0</v>
      </c>
      <c r="K85" s="204">
        <f>TIR!I211</f>
        <v>0</v>
      </c>
      <c r="L85" s="204">
        <f>TIR!J211</f>
        <v>0</v>
      </c>
      <c r="M85" s="204">
        <f>TIR!K211</f>
        <v>0</v>
      </c>
      <c r="N85" s="215">
        <f>TIR!L211</f>
        <v>-7.5</v>
      </c>
      <c r="O85" s="215">
        <f>TIR!M211</f>
        <v>-1.73</v>
      </c>
    </row>
    <row r="86" spans="6:15" ht="13.9" customHeight="1" x14ac:dyDescent="0.25">
      <c r="F86" s="202">
        <f>TIR!D212</f>
        <v>46128</v>
      </c>
      <c r="G86" s="203">
        <f>TIR!U212</f>
        <v>0</v>
      </c>
      <c r="H86" s="203">
        <f>TIR!V212</f>
        <v>0</v>
      </c>
      <c r="I86" s="203">
        <f>TIR!W212</f>
        <v>0</v>
      </c>
      <c r="J86" s="204">
        <f>TIR!H212</f>
        <v>62.5</v>
      </c>
      <c r="K86" s="204">
        <f>TIR!I212</f>
        <v>-17.5</v>
      </c>
      <c r="L86" s="204">
        <f>TIR!J212</f>
        <v>-5</v>
      </c>
      <c r="M86" s="204">
        <f>TIR!K212</f>
        <v>-1.1499999999999999</v>
      </c>
      <c r="N86" s="215">
        <f>TIR!L212</f>
        <v>0</v>
      </c>
      <c r="O86" s="215">
        <f>TIR!M212</f>
        <v>0</v>
      </c>
    </row>
    <row r="87" spans="6:15" ht="13.9" customHeight="1" x14ac:dyDescent="0.25">
      <c r="F87" s="202">
        <f>TIR!D213</f>
        <v>46204</v>
      </c>
      <c r="G87" s="203">
        <f>TIR!U213</f>
        <v>0</v>
      </c>
      <c r="H87" s="203">
        <f>TIR!V213</f>
        <v>0</v>
      </c>
      <c r="I87" s="203">
        <f>TIR!W213</f>
        <v>0</v>
      </c>
      <c r="J87" s="204">
        <f>TIR!H213</f>
        <v>0</v>
      </c>
      <c r="K87" s="204">
        <f>TIR!I213</f>
        <v>0</v>
      </c>
      <c r="L87" s="204">
        <f>TIR!J213</f>
        <v>0</v>
      </c>
      <c r="M87" s="204">
        <f>TIR!K213</f>
        <v>0</v>
      </c>
      <c r="N87" s="215">
        <f>TIR!L213</f>
        <v>-7.5</v>
      </c>
      <c r="O87" s="215">
        <f>TIR!M213</f>
        <v>-1.73</v>
      </c>
    </row>
    <row r="88" spans="6:15" ht="13.9" customHeight="1" x14ac:dyDescent="0.25">
      <c r="F88" s="202">
        <f>TIR!D214</f>
        <v>46296</v>
      </c>
      <c r="G88" s="203">
        <f>TIR!U214</f>
        <v>0</v>
      </c>
      <c r="H88" s="203">
        <f>TIR!V214</f>
        <v>0</v>
      </c>
      <c r="I88" s="203">
        <f>TIR!W214</f>
        <v>0</v>
      </c>
      <c r="J88" s="204">
        <f>TIR!H214</f>
        <v>0</v>
      </c>
      <c r="K88" s="204">
        <f>TIR!I214</f>
        <v>0</v>
      </c>
      <c r="L88" s="204">
        <f>TIR!J214</f>
        <v>0</v>
      </c>
      <c r="M88" s="204">
        <f>TIR!K214</f>
        <v>0</v>
      </c>
      <c r="N88" s="215">
        <f>TIR!L214</f>
        <v>-7.5</v>
      </c>
      <c r="O88" s="215">
        <f>TIR!M214</f>
        <v>-1.73</v>
      </c>
    </row>
    <row r="89" spans="6:15" ht="13.9" customHeight="1" x14ac:dyDescent="0.25">
      <c r="F89" s="202">
        <f>TIR!D215</f>
        <v>46311</v>
      </c>
      <c r="G89" s="203">
        <f>TIR!U215</f>
        <v>0</v>
      </c>
      <c r="H89" s="203">
        <f>TIR!V215</f>
        <v>0</v>
      </c>
      <c r="I89" s="203">
        <f>TIR!W215</f>
        <v>0</v>
      </c>
      <c r="J89" s="204">
        <f>TIR!H215</f>
        <v>62.5</v>
      </c>
      <c r="K89" s="204">
        <f>TIR!I215</f>
        <v>-17.5</v>
      </c>
      <c r="L89" s="204">
        <f>TIR!J215</f>
        <v>-5</v>
      </c>
      <c r="M89" s="204">
        <f>TIR!K215</f>
        <v>-1.1499999999999999</v>
      </c>
      <c r="N89" s="215">
        <f>TIR!L215</f>
        <v>0</v>
      </c>
      <c r="O89" s="215">
        <f>TIR!M215</f>
        <v>0</v>
      </c>
    </row>
    <row r="90" spans="6:15" ht="13.9" customHeight="1" x14ac:dyDescent="0.25">
      <c r="F90" s="202">
        <f>TIR!D216</f>
        <v>46388</v>
      </c>
      <c r="G90" s="203">
        <f>TIR!U216</f>
        <v>0</v>
      </c>
      <c r="H90" s="203">
        <f>TIR!V216</f>
        <v>0</v>
      </c>
      <c r="I90" s="203">
        <f>TIR!W216</f>
        <v>0</v>
      </c>
      <c r="J90" s="204">
        <f>TIR!H216</f>
        <v>0</v>
      </c>
      <c r="K90" s="204">
        <f>TIR!I216</f>
        <v>0</v>
      </c>
      <c r="L90" s="204">
        <f>TIR!J216</f>
        <v>0</v>
      </c>
      <c r="M90" s="204">
        <f>TIR!K216</f>
        <v>0</v>
      </c>
      <c r="N90" s="215">
        <f>TIR!L216</f>
        <v>-7.5</v>
      </c>
      <c r="O90" s="215">
        <f>TIR!M216</f>
        <v>-1.73</v>
      </c>
    </row>
    <row r="91" spans="6:15" ht="13.9" customHeight="1" x14ac:dyDescent="0.25">
      <c r="F91" s="202">
        <f>TIR!D217</f>
        <v>46478</v>
      </c>
      <c r="G91" s="203">
        <f>TIR!U217</f>
        <v>0</v>
      </c>
      <c r="H91" s="203">
        <f>TIR!V217</f>
        <v>0</v>
      </c>
      <c r="I91" s="203">
        <f>TIR!W217</f>
        <v>0</v>
      </c>
      <c r="J91" s="204">
        <f>TIR!H217</f>
        <v>0</v>
      </c>
      <c r="K91" s="204">
        <f>TIR!I217</f>
        <v>0</v>
      </c>
      <c r="L91" s="204">
        <f>TIR!J217</f>
        <v>0</v>
      </c>
      <c r="M91" s="204">
        <f>TIR!K217</f>
        <v>0</v>
      </c>
      <c r="N91" s="215">
        <f>TIR!L217</f>
        <v>-7.5</v>
      </c>
      <c r="O91" s="215">
        <f>TIR!M217</f>
        <v>-1.73</v>
      </c>
    </row>
    <row r="92" spans="6:15" ht="13.9" customHeight="1" x14ac:dyDescent="0.25">
      <c r="F92" s="202">
        <f>TIR!D218</f>
        <v>46493</v>
      </c>
      <c r="G92" s="203">
        <f>TIR!U218</f>
        <v>0</v>
      </c>
      <c r="H92" s="203">
        <f>TIR!V218</f>
        <v>0</v>
      </c>
      <c r="I92" s="203">
        <f>TIR!W218</f>
        <v>0</v>
      </c>
      <c r="J92" s="204">
        <f>TIR!H218</f>
        <v>62.5</v>
      </c>
      <c r="K92" s="204">
        <f>TIR!I218</f>
        <v>-17.5</v>
      </c>
      <c r="L92" s="204">
        <f>TIR!J218</f>
        <v>-5</v>
      </c>
      <c r="M92" s="204">
        <f>TIR!K218</f>
        <v>-1.1499999999999999</v>
      </c>
      <c r="N92" s="215">
        <f>TIR!L218</f>
        <v>0</v>
      </c>
      <c r="O92" s="215">
        <f>TIR!M218</f>
        <v>0</v>
      </c>
    </row>
    <row r="93" spans="6:15" ht="13.9" customHeight="1" x14ac:dyDescent="0.25">
      <c r="F93" s="202">
        <f>TIR!D219</f>
        <v>46569</v>
      </c>
      <c r="G93" s="203">
        <f>TIR!U219</f>
        <v>0</v>
      </c>
      <c r="H93" s="203">
        <f>TIR!V219</f>
        <v>0</v>
      </c>
      <c r="I93" s="203">
        <f>TIR!W219</f>
        <v>0</v>
      </c>
      <c r="J93" s="204">
        <f>TIR!H219</f>
        <v>0</v>
      </c>
      <c r="K93" s="204">
        <f>TIR!I219</f>
        <v>0</v>
      </c>
      <c r="L93" s="204">
        <f>TIR!J219</f>
        <v>0</v>
      </c>
      <c r="M93" s="204">
        <f>TIR!K219</f>
        <v>0</v>
      </c>
      <c r="N93" s="215">
        <f>TIR!L219</f>
        <v>-7.5</v>
      </c>
      <c r="O93" s="215">
        <f>TIR!M219</f>
        <v>-1.73</v>
      </c>
    </row>
    <row r="94" spans="6:15" ht="13.9" customHeight="1" x14ac:dyDescent="0.25">
      <c r="F94" s="202">
        <f>TIR!D220</f>
        <v>46661</v>
      </c>
      <c r="G94" s="203">
        <f>TIR!U220</f>
        <v>0</v>
      </c>
      <c r="H94" s="203">
        <f>TIR!V220</f>
        <v>0</v>
      </c>
      <c r="I94" s="203">
        <f>TIR!W220</f>
        <v>0</v>
      </c>
      <c r="J94" s="204">
        <f>TIR!H220</f>
        <v>0</v>
      </c>
      <c r="K94" s="204">
        <f>TIR!I220</f>
        <v>0</v>
      </c>
      <c r="L94" s="204">
        <f>TIR!J220</f>
        <v>0</v>
      </c>
      <c r="M94" s="204">
        <f>TIR!K220</f>
        <v>0</v>
      </c>
      <c r="N94" s="215">
        <f>TIR!L220</f>
        <v>-7.5</v>
      </c>
      <c r="O94" s="215">
        <f>TIR!M220</f>
        <v>-1.73</v>
      </c>
    </row>
    <row r="95" spans="6:15" ht="13.9" customHeight="1" x14ac:dyDescent="0.25">
      <c r="F95" s="202">
        <f>TIR!D221</f>
        <v>46676</v>
      </c>
      <c r="G95" s="203">
        <f>TIR!U221</f>
        <v>0</v>
      </c>
      <c r="H95" s="203">
        <f>TIR!V221</f>
        <v>0</v>
      </c>
      <c r="I95" s="203">
        <f>TIR!W221</f>
        <v>0</v>
      </c>
      <c r="J95" s="204">
        <f>TIR!H221</f>
        <v>62.5</v>
      </c>
      <c r="K95" s="204">
        <f>TIR!I221</f>
        <v>-17.5</v>
      </c>
      <c r="L95" s="204">
        <f>TIR!J221</f>
        <v>-5</v>
      </c>
      <c r="M95" s="204">
        <f>TIR!K221</f>
        <v>-1.1499999999999999</v>
      </c>
      <c r="N95" s="215">
        <f>TIR!L221</f>
        <v>0</v>
      </c>
      <c r="O95" s="215">
        <f>TIR!M221</f>
        <v>0</v>
      </c>
    </row>
    <row r="96" spans="6:15" ht="13.9" customHeight="1" x14ac:dyDescent="0.25">
      <c r="F96" s="202">
        <f>TIR!D222</f>
        <v>46753</v>
      </c>
      <c r="G96" s="203">
        <f>TIR!U222</f>
        <v>0</v>
      </c>
      <c r="H96" s="203">
        <f>TIR!V222</f>
        <v>0</v>
      </c>
      <c r="I96" s="203">
        <f>TIR!W222</f>
        <v>0</v>
      </c>
      <c r="J96" s="204">
        <f>TIR!H222</f>
        <v>0</v>
      </c>
      <c r="K96" s="204">
        <f>TIR!I222</f>
        <v>0</v>
      </c>
      <c r="L96" s="204">
        <f>TIR!J222</f>
        <v>0</v>
      </c>
      <c r="M96" s="204">
        <f>TIR!K222</f>
        <v>0</v>
      </c>
      <c r="N96" s="215">
        <f>TIR!L222</f>
        <v>-7.5</v>
      </c>
      <c r="O96" s="215">
        <f>TIR!M222</f>
        <v>-1.73</v>
      </c>
    </row>
    <row r="97" spans="6:15" ht="13.9" customHeight="1" x14ac:dyDescent="0.25">
      <c r="F97" s="202">
        <f>TIR!D223</f>
        <v>46844</v>
      </c>
      <c r="G97" s="203">
        <f>TIR!U223</f>
        <v>0</v>
      </c>
      <c r="H97" s="203">
        <f>TIR!V223</f>
        <v>0</v>
      </c>
      <c r="I97" s="203">
        <f>TIR!W223</f>
        <v>0</v>
      </c>
      <c r="J97" s="204">
        <f>TIR!H223</f>
        <v>0</v>
      </c>
      <c r="K97" s="204">
        <f>TIR!I223</f>
        <v>0</v>
      </c>
      <c r="L97" s="204">
        <f>TIR!J223</f>
        <v>0</v>
      </c>
      <c r="M97" s="204">
        <f>TIR!K223</f>
        <v>0</v>
      </c>
      <c r="N97" s="215">
        <f>TIR!L223</f>
        <v>-7.5</v>
      </c>
      <c r="O97" s="215">
        <f>TIR!M223</f>
        <v>-1.73</v>
      </c>
    </row>
    <row r="98" spans="6:15" ht="13.9" customHeight="1" x14ac:dyDescent="0.25">
      <c r="F98" s="202">
        <f>TIR!D224</f>
        <v>46859</v>
      </c>
      <c r="G98" s="203">
        <f>TIR!U224</f>
        <v>0</v>
      </c>
      <c r="H98" s="203">
        <f>TIR!V224</f>
        <v>0</v>
      </c>
      <c r="I98" s="203">
        <f>TIR!W224</f>
        <v>0</v>
      </c>
      <c r="J98" s="204">
        <f>TIR!H224</f>
        <v>62.5</v>
      </c>
      <c r="K98" s="204">
        <f>TIR!I224</f>
        <v>-17.5</v>
      </c>
      <c r="L98" s="204">
        <f>TIR!J224</f>
        <v>-5</v>
      </c>
      <c r="M98" s="204">
        <f>TIR!K224</f>
        <v>-1.1499999999999999</v>
      </c>
      <c r="N98" s="215">
        <f>TIR!L224</f>
        <v>0</v>
      </c>
      <c r="O98" s="215">
        <f>TIR!M224</f>
        <v>0</v>
      </c>
    </row>
    <row r="99" spans="6:15" ht="13.9" customHeight="1" x14ac:dyDescent="0.25">
      <c r="F99" s="202">
        <f>TIR!D225</f>
        <v>46935</v>
      </c>
      <c r="G99" s="203">
        <f>TIR!U225</f>
        <v>0</v>
      </c>
      <c r="H99" s="203">
        <f>TIR!V225</f>
        <v>0</v>
      </c>
      <c r="I99" s="203">
        <f>TIR!W225</f>
        <v>0</v>
      </c>
      <c r="J99" s="204">
        <f>TIR!H225</f>
        <v>0</v>
      </c>
      <c r="K99" s="204">
        <f>TIR!I225</f>
        <v>0</v>
      </c>
      <c r="L99" s="204">
        <f>TIR!J225</f>
        <v>0</v>
      </c>
      <c r="M99" s="204">
        <f>TIR!K225</f>
        <v>0</v>
      </c>
      <c r="N99" s="215">
        <f>TIR!L225</f>
        <v>-7.5</v>
      </c>
      <c r="O99" s="215">
        <f>TIR!M225</f>
        <v>-1.73</v>
      </c>
    </row>
    <row r="100" spans="6:15" ht="13.9" customHeight="1" x14ac:dyDescent="0.25">
      <c r="F100" s="202">
        <f>TIR!D226</f>
        <v>47027</v>
      </c>
      <c r="G100" s="203">
        <f>TIR!U226</f>
        <v>0</v>
      </c>
      <c r="H100" s="203">
        <f>TIR!V226</f>
        <v>0</v>
      </c>
      <c r="I100" s="203">
        <f>TIR!W226</f>
        <v>0</v>
      </c>
      <c r="J100" s="204">
        <f>TIR!H226</f>
        <v>0</v>
      </c>
      <c r="K100" s="204">
        <f>TIR!I226</f>
        <v>0</v>
      </c>
      <c r="L100" s="204">
        <f>TIR!J226</f>
        <v>0</v>
      </c>
      <c r="M100" s="204">
        <f>TIR!K226</f>
        <v>0</v>
      </c>
      <c r="N100" s="215">
        <f>TIR!L226</f>
        <v>-7.5</v>
      </c>
      <c r="O100" s="215">
        <f>TIR!M226</f>
        <v>-1.73</v>
      </c>
    </row>
    <row r="101" spans="6:15" ht="13.9" customHeight="1" x14ac:dyDescent="0.25">
      <c r="F101" s="202">
        <f>TIR!D227</f>
        <v>47042</v>
      </c>
      <c r="G101" s="203">
        <f>TIR!U227</f>
        <v>0</v>
      </c>
      <c r="H101" s="203">
        <f>TIR!V227</f>
        <v>0</v>
      </c>
      <c r="I101" s="203">
        <f>TIR!W227</f>
        <v>0</v>
      </c>
      <c r="J101" s="204">
        <f>TIR!H227</f>
        <v>62.5</v>
      </c>
      <c r="K101" s="204">
        <f>TIR!I227</f>
        <v>-17.5</v>
      </c>
      <c r="L101" s="204">
        <f>TIR!J227</f>
        <v>-5</v>
      </c>
      <c r="M101" s="204">
        <f>TIR!K227</f>
        <v>-1.1499999999999999</v>
      </c>
      <c r="N101" s="215">
        <f>TIR!L227</f>
        <v>0</v>
      </c>
      <c r="O101" s="215">
        <f>TIR!M227</f>
        <v>0</v>
      </c>
    </row>
    <row r="102" spans="6:15" ht="13.9" customHeight="1" x14ac:dyDescent="0.25">
      <c r="F102" s="202">
        <f>TIR!D228</f>
        <v>47119</v>
      </c>
      <c r="G102" s="203">
        <f>TIR!U228</f>
        <v>0</v>
      </c>
      <c r="H102" s="203">
        <f>TIR!V228</f>
        <v>0</v>
      </c>
      <c r="I102" s="203">
        <f>TIR!W228</f>
        <v>0</v>
      </c>
      <c r="J102" s="204">
        <f>TIR!H228</f>
        <v>0</v>
      </c>
      <c r="K102" s="204">
        <f>TIR!I228</f>
        <v>0</v>
      </c>
      <c r="L102" s="204">
        <f>TIR!J228</f>
        <v>0</v>
      </c>
      <c r="M102" s="204">
        <f>TIR!K228</f>
        <v>0</v>
      </c>
      <c r="N102" s="215">
        <f>TIR!L228</f>
        <v>-7.5</v>
      </c>
      <c r="O102" s="215">
        <f>TIR!M228</f>
        <v>-1.73</v>
      </c>
    </row>
    <row r="103" spans="6:15" ht="13.9" customHeight="1" x14ac:dyDescent="0.25">
      <c r="F103" s="202">
        <f>TIR!D229</f>
        <v>47209</v>
      </c>
      <c r="G103" s="203">
        <f>TIR!U229</f>
        <v>0</v>
      </c>
      <c r="H103" s="203">
        <f>TIR!V229</f>
        <v>0</v>
      </c>
      <c r="I103" s="203">
        <f>TIR!W229</f>
        <v>0</v>
      </c>
      <c r="J103" s="204">
        <f>TIR!H229</f>
        <v>0</v>
      </c>
      <c r="K103" s="204">
        <f>TIR!I229</f>
        <v>0</v>
      </c>
      <c r="L103" s="204">
        <f>TIR!J229</f>
        <v>0</v>
      </c>
      <c r="M103" s="204">
        <f>TIR!K229</f>
        <v>0</v>
      </c>
      <c r="N103" s="215">
        <f>TIR!L229</f>
        <v>-7.5</v>
      </c>
      <c r="O103" s="215">
        <f>TIR!M229</f>
        <v>-1.73</v>
      </c>
    </row>
    <row r="104" spans="6:15" ht="13.9" customHeight="1" x14ac:dyDescent="0.25">
      <c r="F104" s="202">
        <f>TIR!D230</f>
        <v>47224</v>
      </c>
      <c r="G104" s="203">
        <f>TIR!U230</f>
        <v>0</v>
      </c>
      <c r="H104" s="203">
        <f>TIR!V230</f>
        <v>0</v>
      </c>
      <c r="I104" s="203">
        <f>TIR!W230</f>
        <v>0</v>
      </c>
      <c r="J104" s="204">
        <f>TIR!H230</f>
        <v>62.5</v>
      </c>
      <c r="K104" s="204">
        <f>TIR!I230</f>
        <v>-17.5</v>
      </c>
      <c r="L104" s="204">
        <f>TIR!J230</f>
        <v>-5</v>
      </c>
      <c r="M104" s="204">
        <f>TIR!K230</f>
        <v>-1.1499999999999999</v>
      </c>
      <c r="N104" s="215">
        <f>TIR!L230</f>
        <v>0</v>
      </c>
      <c r="O104" s="215">
        <f>TIR!M230</f>
        <v>0</v>
      </c>
    </row>
    <row r="105" spans="6:15" ht="13.9" customHeight="1" x14ac:dyDescent="0.25">
      <c r="F105" s="202">
        <f>TIR!D231</f>
        <v>47300</v>
      </c>
      <c r="G105" s="203">
        <f>TIR!U231</f>
        <v>0</v>
      </c>
      <c r="H105" s="203">
        <f>TIR!V231</f>
        <v>0</v>
      </c>
      <c r="I105" s="203">
        <f>TIR!W231</f>
        <v>0</v>
      </c>
      <c r="J105" s="204">
        <f>TIR!H231</f>
        <v>0</v>
      </c>
      <c r="K105" s="204">
        <f>TIR!I231</f>
        <v>0</v>
      </c>
      <c r="L105" s="204">
        <f>TIR!J231</f>
        <v>0</v>
      </c>
      <c r="M105" s="204">
        <f>TIR!K231</f>
        <v>0</v>
      </c>
      <c r="N105" s="215">
        <f>TIR!L231</f>
        <v>-7.5</v>
      </c>
      <c r="O105" s="215">
        <f>TIR!M231</f>
        <v>-1.73</v>
      </c>
    </row>
    <row r="106" spans="6:15" ht="13.9" customHeight="1" x14ac:dyDescent="0.25">
      <c r="F106" s="202">
        <f>TIR!D232</f>
        <v>47392</v>
      </c>
      <c r="G106" s="203">
        <f>TIR!U232</f>
        <v>0</v>
      </c>
      <c r="H106" s="203">
        <f>TIR!V232</f>
        <v>0</v>
      </c>
      <c r="I106" s="203">
        <f>TIR!W232</f>
        <v>0</v>
      </c>
      <c r="J106" s="204">
        <f>TIR!H232</f>
        <v>0</v>
      </c>
      <c r="K106" s="204">
        <f>TIR!I232</f>
        <v>0</v>
      </c>
      <c r="L106" s="204">
        <f>TIR!J232</f>
        <v>0</v>
      </c>
      <c r="M106" s="204">
        <f>TIR!K232</f>
        <v>0</v>
      </c>
      <c r="N106" s="215">
        <f>TIR!L232</f>
        <v>-7.5</v>
      </c>
      <c r="O106" s="215">
        <f>TIR!M232</f>
        <v>-1.73</v>
      </c>
    </row>
    <row r="107" spans="6:15" x14ac:dyDescent="0.25">
      <c r="F107" s="202">
        <f>TIR!D233</f>
        <v>47407</v>
      </c>
      <c r="G107" s="203">
        <f>TIR!U233</f>
        <v>2500</v>
      </c>
      <c r="H107" s="203">
        <f>TIR!V233</f>
        <v>-12.5</v>
      </c>
      <c r="I107" s="203">
        <f>TIR!W233</f>
        <v>-2.88</v>
      </c>
      <c r="J107" s="204">
        <f>TIR!H233</f>
        <v>62.5</v>
      </c>
      <c r="K107" s="204">
        <f>TIR!I233</f>
        <v>-17.5</v>
      </c>
      <c r="L107" s="204">
        <f>TIR!J233</f>
        <v>-5</v>
      </c>
      <c r="M107" s="204">
        <f>TIR!K233</f>
        <v>-1.1499999999999999</v>
      </c>
      <c r="N107" s="215">
        <f>TIR!L233</f>
        <v>0</v>
      </c>
      <c r="O107" s="215">
        <f>TIR!M233</f>
        <v>0</v>
      </c>
    </row>
    <row r="108" spans="6:15" ht="13.9" customHeight="1" x14ac:dyDescent="0.25">
      <c r="F108" s="202" t="str">
        <f>TIR!D234</f>
        <v/>
      </c>
      <c r="G108" s="203" t="str">
        <f>TIR!U234</f>
        <v/>
      </c>
      <c r="H108" s="203" t="str">
        <f>TIR!V234</f>
        <v/>
      </c>
      <c r="I108" s="203" t="str">
        <f>TIR!W234</f>
        <v/>
      </c>
      <c r="J108" s="204" t="str">
        <f>TIR!H234</f>
        <v/>
      </c>
      <c r="K108" s="204" t="str">
        <f>TIR!I234</f>
        <v/>
      </c>
      <c r="L108" s="204" t="str">
        <f>TIR!J234</f>
        <v/>
      </c>
      <c r="M108" s="204" t="str">
        <f>TIR!K234</f>
        <v/>
      </c>
      <c r="N108" s="215" t="str">
        <f>TIR!L234</f>
        <v/>
      </c>
      <c r="O108" s="215" t="str">
        <f>TIR!M234</f>
        <v/>
      </c>
    </row>
    <row r="109" spans="6:15" ht="13.9" customHeight="1" x14ac:dyDescent="0.25">
      <c r="F109" s="202" t="str">
        <f>TIR!D235</f>
        <v/>
      </c>
      <c r="G109" s="203" t="str">
        <f>TIR!U235</f>
        <v/>
      </c>
      <c r="H109" s="203" t="str">
        <f>TIR!V235</f>
        <v/>
      </c>
      <c r="I109" s="203" t="str">
        <f>TIR!W235</f>
        <v/>
      </c>
      <c r="J109" s="204" t="str">
        <f>TIR!H235</f>
        <v/>
      </c>
      <c r="K109" s="204" t="str">
        <f>TIR!I235</f>
        <v/>
      </c>
      <c r="L109" s="204" t="str">
        <f>TIR!J235</f>
        <v/>
      </c>
      <c r="M109" s="204" t="str">
        <f>TIR!K235</f>
        <v/>
      </c>
      <c r="N109" s="215" t="str">
        <f>TIR!L235</f>
        <v/>
      </c>
      <c r="O109" s="215" t="str">
        <f>TIR!M235</f>
        <v/>
      </c>
    </row>
    <row r="110" spans="6:15" ht="13.9" customHeight="1" x14ac:dyDescent="0.25">
      <c r="F110" s="202" t="str">
        <f>TIR!D236</f>
        <v/>
      </c>
      <c r="G110" s="203" t="str">
        <f>TIR!U236</f>
        <v/>
      </c>
      <c r="H110" s="203" t="str">
        <f>TIR!V236</f>
        <v/>
      </c>
      <c r="I110" s="203" t="str">
        <f>TIR!W236</f>
        <v/>
      </c>
      <c r="J110" s="204" t="str">
        <f>TIR!H236</f>
        <v/>
      </c>
      <c r="K110" s="204" t="str">
        <f>TIR!I236</f>
        <v/>
      </c>
      <c r="L110" s="204" t="str">
        <f>TIR!J236</f>
        <v/>
      </c>
      <c r="M110" s="204" t="str">
        <f>TIR!K236</f>
        <v/>
      </c>
      <c r="N110" s="215" t="str">
        <f>TIR!L236</f>
        <v/>
      </c>
      <c r="O110" s="215" t="str">
        <f>TIR!M236</f>
        <v/>
      </c>
    </row>
    <row r="111" spans="6:15" ht="13.9" customHeight="1" x14ac:dyDescent="0.25">
      <c r="F111" s="202" t="str">
        <f>TIR!D237</f>
        <v/>
      </c>
      <c r="G111" s="203" t="str">
        <f>TIR!U237</f>
        <v/>
      </c>
      <c r="H111" s="203" t="str">
        <f>TIR!V237</f>
        <v/>
      </c>
      <c r="I111" s="203" t="str">
        <f>TIR!W237</f>
        <v/>
      </c>
      <c r="J111" s="204" t="str">
        <f>TIR!H237</f>
        <v/>
      </c>
      <c r="K111" s="204" t="str">
        <f>TIR!I237</f>
        <v/>
      </c>
      <c r="L111" s="204" t="str">
        <f>TIR!J237</f>
        <v/>
      </c>
      <c r="M111" s="204" t="str">
        <f>TIR!K237</f>
        <v/>
      </c>
      <c r="N111" s="215" t="str">
        <f>TIR!L237</f>
        <v/>
      </c>
      <c r="O111" s="215" t="str">
        <f>TIR!M237</f>
        <v/>
      </c>
    </row>
    <row r="112" spans="6:15" ht="13.9" customHeight="1" x14ac:dyDescent="0.25">
      <c r="F112" s="202" t="str">
        <f>TIR!D238</f>
        <v/>
      </c>
      <c r="G112" s="203" t="str">
        <f>TIR!U238</f>
        <v/>
      </c>
      <c r="H112" s="203" t="str">
        <f>TIR!V238</f>
        <v/>
      </c>
      <c r="I112" s="203" t="str">
        <f>TIR!W238</f>
        <v/>
      </c>
      <c r="J112" s="204" t="str">
        <f>TIR!H238</f>
        <v/>
      </c>
      <c r="K112" s="204" t="str">
        <f>TIR!I238</f>
        <v/>
      </c>
      <c r="L112" s="204" t="str">
        <f>TIR!J238</f>
        <v/>
      </c>
      <c r="M112" s="204" t="str">
        <f>TIR!K238</f>
        <v/>
      </c>
      <c r="N112" s="215" t="str">
        <f>TIR!L238</f>
        <v/>
      </c>
      <c r="O112" s="215" t="str">
        <f>TIR!M238</f>
        <v/>
      </c>
    </row>
    <row r="113" spans="6:15" ht="13.9" customHeight="1" x14ac:dyDescent="0.25">
      <c r="F113" s="202" t="str">
        <f>TIR!D239</f>
        <v/>
      </c>
      <c r="G113" s="203" t="str">
        <f>TIR!U239</f>
        <v/>
      </c>
      <c r="H113" s="203" t="str">
        <f>TIR!V239</f>
        <v/>
      </c>
      <c r="I113" s="203" t="str">
        <f>TIR!W239</f>
        <v/>
      </c>
      <c r="J113" s="204" t="str">
        <f>TIR!H239</f>
        <v/>
      </c>
      <c r="K113" s="204" t="str">
        <f>TIR!I239</f>
        <v/>
      </c>
      <c r="L113" s="204" t="str">
        <f>TIR!J239</f>
        <v/>
      </c>
      <c r="M113" s="204" t="str">
        <f>TIR!K239</f>
        <v/>
      </c>
      <c r="N113" s="215" t="str">
        <f>TIR!L239</f>
        <v/>
      </c>
      <c r="O113" s="215" t="str">
        <f>TIR!M239</f>
        <v/>
      </c>
    </row>
    <row r="114" spans="6:15" ht="13.9" customHeight="1" x14ac:dyDescent="0.25">
      <c r="F114" s="202" t="str">
        <f>TIR!D240</f>
        <v/>
      </c>
      <c r="G114" s="203" t="str">
        <f>TIR!U240</f>
        <v/>
      </c>
      <c r="H114" s="203" t="str">
        <f>TIR!V240</f>
        <v/>
      </c>
      <c r="I114" s="203" t="str">
        <f>TIR!W240</f>
        <v/>
      </c>
      <c r="J114" s="204" t="str">
        <f>TIR!H240</f>
        <v/>
      </c>
      <c r="K114" s="204" t="str">
        <f>TIR!I240</f>
        <v/>
      </c>
      <c r="L114" s="204" t="str">
        <f>TIR!J240</f>
        <v/>
      </c>
      <c r="M114" s="204" t="str">
        <f>TIR!K240</f>
        <v/>
      </c>
      <c r="N114" s="215" t="str">
        <f>TIR!L240</f>
        <v/>
      </c>
      <c r="O114" s="215" t="str">
        <f>TIR!M240</f>
        <v/>
      </c>
    </row>
    <row r="115" spans="6:15" ht="13.9" customHeight="1" x14ac:dyDescent="0.25">
      <c r="F115" s="202" t="str">
        <f>TIR!D241</f>
        <v/>
      </c>
      <c r="G115" s="203" t="str">
        <f>TIR!U241</f>
        <v/>
      </c>
      <c r="H115" s="203" t="str">
        <f>TIR!V241</f>
        <v/>
      </c>
      <c r="I115" s="203" t="str">
        <f>TIR!W241</f>
        <v/>
      </c>
      <c r="J115" s="204" t="str">
        <f>TIR!H241</f>
        <v/>
      </c>
      <c r="K115" s="204" t="str">
        <f>TIR!I241</f>
        <v/>
      </c>
      <c r="L115" s="204" t="str">
        <f>TIR!J241</f>
        <v/>
      </c>
      <c r="M115" s="204" t="str">
        <f>TIR!K241</f>
        <v/>
      </c>
      <c r="N115" s="215" t="str">
        <f>TIR!L241</f>
        <v/>
      </c>
      <c r="O115" s="215" t="str">
        <f>TIR!M241</f>
        <v/>
      </c>
    </row>
    <row r="116" spans="6:15" ht="13.9" customHeight="1" x14ac:dyDescent="0.25">
      <c r="F116" s="202" t="str">
        <f>TIR!D242</f>
        <v/>
      </c>
      <c r="G116" s="203" t="str">
        <f>TIR!U242</f>
        <v/>
      </c>
      <c r="H116" s="203" t="str">
        <f>TIR!V242</f>
        <v/>
      </c>
      <c r="I116" s="203" t="str">
        <f>TIR!W242</f>
        <v/>
      </c>
      <c r="J116" s="204" t="str">
        <f>TIR!H242</f>
        <v/>
      </c>
      <c r="K116" s="204" t="str">
        <f>TIR!I242</f>
        <v/>
      </c>
      <c r="L116" s="204" t="str">
        <f>TIR!J242</f>
        <v/>
      </c>
      <c r="M116" s="204" t="str">
        <f>TIR!K242</f>
        <v/>
      </c>
      <c r="N116" s="215" t="str">
        <f>TIR!L242</f>
        <v/>
      </c>
      <c r="O116" s="215" t="str">
        <f>TIR!M242</f>
        <v/>
      </c>
    </row>
    <row r="117" spans="6:15" ht="13.9" customHeight="1" x14ac:dyDescent="0.25">
      <c r="F117" s="202" t="str">
        <f>TIR!D243</f>
        <v/>
      </c>
      <c r="G117" s="203" t="str">
        <f>TIR!U243</f>
        <v/>
      </c>
      <c r="H117" s="203" t="str">
        <f>TIR!V243</f>
        <v/>
      </c>
      <c r="I117" s="203" t="str">
        <f>TIR!W243</f>
        <v/>
      </c>
      <c r="J117" s="204" t="str">
        <f>TIR!H243</f>
        <v/>
      </c>
      <c r="K117" s="204" t="str">
        <f>TIR!I243</f>
        <v/>
      </c>
      <c r="L117" s="204" t="str">
        <f>TIR!J243</f>
        <v/>
      </c>
      <c r="M117" s="204" t="str">
        <f>TIR!K243</f>
        <v/>
      </c>
      <c r="N117" s="215" t="str">
        <f>TIR!L243</f>
        <v/>
      </c>
      <c r="O117" s="215" t="str">
        <f>TIR!M243</f>
        <v/>
      </c>
    </row>
    <row r="118" spans="6:15" ht="13.9" customHeight="1" x14ac:dyDescent="0.25">
      <c r="F118" s="202" t="str">
        <f>TIR!D244</f>
        <v/>
      </c>
      <c r="G118" s="203" t="str">
        <f>TIR!U244</f>
        <v/>
      </c>
      <c r="H118" s="203" t="str">
        <f>TIR!V244</f>
        <v/>
      </c>
      <c r="I118" s="203" t="str">
        <f>TIR!W244</f>
        <v/>
      </c>
      <c r="J118" s="204" t="str">
        <f>TIR!H244</f>
        <v/>
      </c>
      <c r="K118" s="204" t="str">
        <f>TIR!I244</f>
        <v/>
      </c>
      <c r="L118" s="204" t="str">
        <f>TIR!J244</f>
        <v/>
      </c>
      <c r="M118" s="204" t="str">
        <f>TIR!K244</f>
        <v/>
      </c>
      <c r="N118" s="215" t="str">
        <f>TIR!L244</f>
        <v/>
      </c>
      <c r="O118" s="215" t="str">
        <f>TIR!M244</f>
        <v/>
      </c>
    </row>
    <row r="119" spans="6:15" ht="13.9" customHeight="1" x14ac:dyDescent="0.25">
      <c r="F119" s="202" t="str">
        <f>TIR!D245</f>
        <v/>
      </c>
      <c r="G119" s="203" t="str">
        <f>TIR!U245</f>
        <v/>
      </c>
      <c r="H119" s="203" t="str">
        <f>TIR!V245</f>
        <v/>
      </c>
      <c r="I119" s="203" t="str">
        <f>TIR!W245</f>
        <v/>
      </c>
      <c r="J119" s="204" t="str">
        <f>TIR!H245</f>
        <v/>
      </c>
      <c r="K119" s="204" t="str">
        <f>TIR!I245</f>
        <v/>
      </c>
      <c r="L119" s="204" t="str">
        <f>TIR!J245</f>
        <v/>
      </c>
      <c r="M119" s="204" t="str">
        <f>TIR!K245</f>
        <v/>
      </c>
      <c r="N119" s="215" t="str">
        <f>TIR!L245</f>
        <v/>
      </c>
      <c r="O119" s="215" t="str">
        <f>TIR!M245</f>
        <v/>
      </c>
    </row>
    <row r="120" spans="6:15" ht="13.9" customHeight="1" x14ac:dyDescent="0.25">
      <c r="F120" s="202" t="str">
        <f>TIR!D246</f>
        <v/>
      </c>
      <c r="G120" s="203" t="str">
        <f>TIR!U246</f>
        <v/>
      </c>
      <c r="H120" s="203" t="str">
        <f>TIR!V246</f>
        <v/>
      </c>
      <c r="I120" s="203" t="str">
        <f>TIR!W246</f>
        <v/>
      </c>
      <c r="J120" s="204" t="str">
        <f>TIR!H246</f>
        <v/>
      </c>
      <c r="K120" s="204" t="str">
        <f>TIR!I246</f>
        <v/>
      </c>
      <c r="L120" s="204" t="str">
        <f>TIR!J246</f>
        <v/>
      </c>
      <c r="M120" s="204" t="str">
        <f>TIR!K246</f>
        <v/>
      </c>
      <c r="N120" s="215" t="str">
        <f>TIR!L246</f>
        <v/>
      </c>
      <c r="O120" s="215" t="str">
        <f>TIR!M246</f>
        <v/>
      </c>
    </row>
    <row r="121" spans="6:15" ht="13.9" customHeight="1" x14ac:dyDescent="0.25">
      <c r="F121" s="207" t="s">
        <v>251</v>
      </c>
      <c r="G121" s="208">
        <f t="shared" ref="G121:O121" si="0">SUM(G77:G120)</f>
        <v>0</v>
      </c>
      <c r="H121" s="208">
        <f t="shared" si="0"/>
        <v>-25</v>
      </c>
      <c r="I121" s="208">
        <f t="shared" si="0"/>
        <v>-3.38</v>
      </c>
      <c r="J121" s="209">
        <f t="shared" si="0"/>
        <v>625</v>
      </c>
      <c r="K121" s="209">
        <f t="shared" si="0"/>
        <v>-175</v>
      </c>
      <c r="L121" s="209">
        <f t="shared" si="0"/>
        <v>-50</v>
      </c>
      <c r="M121" s="209">
        <f t="shared" si="0"/>
        <v>-11.500000000000002</v>
      </c>
      <c r="N121" s="210">
        <f t="shared" si="0"/>
        <v>-150</v>
      </c>
      <c r="O121" s="210">
        <f t="shared" si="0"/>
        <v>-34.6</v>
      </c>
    </row>
    <row r="122" spans="6:15" ht="13.9" customHeight="1" x14ac:dyDescent="0.25">
      <c r="K122" s="62"/>
      <c r="L122" s="62"/>
      <c r="M122" s="62"/>
      <c r="N122" s="62"/>
      <c r="O122" s="62"/>
    </row>
    <row r="123" spans="6:15" ht="13.9" customHeight="1" x14ac:dyDescent="0.25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35">
      <c r="F124" s="360" t="str">
        <f>K25</f>
        <v>Juro Bruto até à maturidade:</v>
      </c>
      <c r="G124" s="360"/>
      <c r="H124" s="360"/>
      <c r="I124" s="206">
        <f>M25</f>
        <v>625</v>
      </c>
      <c r="K124" s="360" t="str">
        <f>K33</f>
        <v>Rendimento Liq. até maturidade:</v>
      </c>
      <c r="L124" s="360"/>
      <c r="M124" s="360"/>
      <c r="N124" s="206">
        <f>SUM(G121:O121)</f>
        <v>175.52</v>
      </c>
      <c r="O124" s="205" t="str">
        <f>IF(N124=M33,"OK","Atenção")</f>
        <v>OK</v>
      </c>
    </row>
    <row r="125" spans="6:15" ht="13.9" customHeight="1" x14ac:dyDescent="0.25">
      <c r="F125" s="64"/>
      <c r="G125" s="64"/>
      <c r="H125" s="64"/>
      <c r="I125" s="64"/>
    </row>
    <row r="126" spans="6:15" ht="13.9" customHeight="1" x14ac:dyDescent="0.25">
      <c r="F126" s="64"/>
      <c r="G126" s="64"/>
      <c r="H126" s="64"/>
      <c r="I126" s="64"/>
    </row>
    <row r="127" spans="6:15" ht="13.9" customHeight="1" x14ac:dyDescent="0.25">
      <c r="F127" s="64"/>
      <c r="G127" s="64"/>
      <c r="H127" s="64"/>
      <c r="I127" s="64"/>
    </row>
    <row r="128" spans="6:15" ht="13.9" customHeight="1" x14ac:dyDescent="0.25">
      <c r="F128" s="64"/>
      <c r="G128" s="64"/>
      <c r="H128" s="64"/>
      <c r="I128" s="64"/>
    </row>
    <row r="129" spans="5:25" x14ac:dyDescent="0.25">
      <c r="F129" s="1"/>
      <c r="G129" s="1"/>
      <c r="H129" s="1"/>
      <c r="I129" s="1"/>
    </row>
    <row r="130" spans="5:25" ht="7.5" customHeight="1" x14ac:dyDescent="0.25">
      <c r="F130" s="64"/>
      <c r="G130" s="64"/>
      <c r="H130" s="64"/>
      <c r="I130" s="64"/>
    </row>
    <row r="131" spans="5:25" s="61" customFormat="1" ht="15.75" x14ac:dyDescent="0.25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25">
      <c r="F132" s="1"/>
      <c r="G132" s="64"/>
      <c r="H132" s="1"/>
      <c r="I132" s="1"/>
    </row>
    <row r="133" spans="5:25" x14ac:dyDescent="0.25">
      <c r="F133" s="1"/>
      <c r="G133" s="64"/>
      <c r="H133" s="1"/>
      <c r="I133" s="1"/>
    </row>
    <row r="134" spans="5:25" x14ac:dyDescent="0.25">
      <c r="F134" s="1"/>
      <c r="G134" s="64"/>
      <c r="H134" s="1"/>
      <c r="I134" s="1"/>
    </row>
    <row r="135" spans="5:25" ht="15" customHeight="1" x14ac:dyDescent="0.25">
      <c r="F135" s="1"/>
      <c r="G135" s="64"/>
      <c r="H135" s="1"/>
      <c r="I135" s="1"/>
    </row>
    <row r="144" spans="5:25" ht="20.25" customHeight="1" x14ac:dyDescent="0.25"/>
    <row r="198" spans="6:14" ht="28.9" customHeight="1" x14ac:dyDescent="0.25">
      <c r="F198" s="387"/>
      <c r="G198" s="387"/>
      <c r="H198" s="387"/>
      <c r="I198" s="387"/>
      <c r="J198" s="387"/>
      <c r="K198" s="387"/>
      <c r="L198" s="387"/>
      <c r="M198" s="387"/>
      <c r="N198" s="387"/>
    </row>
    <row r="199" spans="6:14" ht="43.15" customHeight="1" x14ac:dyDescent="0.25">
      <c r="F199" s="387"/>
      <c r="G199" s="387"/>
      <c r="H199" s="387"/>
      <c r="I199" s="387"/>
      <c r="J199" s="387"/>
      <c r="K199" s="387"/>
      <c r="L199" s="387"/>
      <c r="M199" s="387"/>
      <c r="N199" s="387"/>
    </row>
    <row r="200" spans="6:14" x14ac:dyDescent="0.25">
      <c r="F200" s="388"/>
      <c r="G200" s="388"/>
      <c r="H200" s="388"/>
      <c r="I200" s="388"/>
      <c r="J200" s="388"/>
      <c r="K200" s="388"/>
      <c r="L200" s="388"/>
      <c r="M200" s="388"/>
      <c r="N200" s="388"/>
    </row>
  </sheetData>
  <sheetProtection algorithmName="SHA-512" hashValue="kcM262C3tGJVGAUYV9122icyvnaJHmlXAb0Svl+znE8k0EQKDb+YkDL52RBSTYjk4UZIQnZCg/W+llxb7Qu/Fw==" saltValue="oiPIs60YIsiy13yvOsjCQQ==" spinCount="100000" sheet="1"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8" priority="2" operator="containsText" text="A PREENCHER Nome, Conta e NIF">
      <formula>NOT(ISERROR(SEARCH("A PREENCHER Nome, Conta e NIF",G11)))</formula>
    </cfRule>
  </conditionalFormatting>
  <conditionalFormatting sqref="H25 H27">
    <cfRule type="cellIs" dxfId="7" priority="3" stopIfTrue="1" operator="equal">
      <formula>"A PREENCHER"</formula>
    </cfRule>
  </conditionalFormatting>
  <conditionalFormatting sqref="O124">
    <cfRule type="cellIs" dxfId="6" priority="1" operator="equal">
      <formula>"OK"</formula>
    </cfRule>
  </conditionalFormatting>
  <dataValidations count="6">
    <dataValidation type="list" allowBlank="1" showInputMessage="1" showErrorMessage="1" sqref="H27:I27" xr:uid="{2A128FC8-9792-4D8D-9818-AC93D5E1AD2A}">
      <formula1>$XFB$1:$XFB$3</formula1>
    </dataValidation>
    <dataValidation type="custom" allowBlank="1" showInputMessage="1" showErrorMessage="1" error="Montante mínimo: 2.500€_x000a_Montante máximo: 50.000.000€_x000a_A partir do montante mínimo as ordens de subscrição devem ser expressas em múltiplos de 250€" prompt="Montante mínimo: 2.500€_x000a_Montante máximo: 50.000.000€_x000a_A partir do montante mínimo as ordens de subscrição devem ser expressas em múltiplos de 250€" sqref="H17:I17" xr:uid="{1861E4BF-DB9E-4B87-8809-B5AA1CF47D93}">
      <formula1>AND(H17&gt;=2500,H17&lt;=50000000,H17/250=INT(H17/250))=TRUE</formula1>
    </dataValidation>
    <dataValidation type="whole" allowBlank="1" showInputMessage="1" showErrorMessage="1" errorTitle="Inserir a Conta de Títulos" error="Inserir a Conta de Títulos do Cliente" prompt="Conta de Títulos" sqref="G13" xr:uid="{3FDD980A-91B3-448B-820F-5ADEF2A4D5CB}">
      <formula1>40000000001</formula1>
      <formula2>40400000000</formula2>
    </dataValidation>
    <dataValidation type="whole" allowBlank="1" showInputMessage="1" showErrorMessage="1" errorTitle="Inserir o NIF do Cliente" error="Inserir o NIF do Cliente" prompt="NIF do Cliente" sqref="I13" xr:uid="{F48283CA-1B79-40B6-A747-D9A5ABFF9891}">
      <formula1>99999999</formula1>
      <formula2>999999999</formula2>
    </dataValidation>
    <dataValidation type="textLength" showInputMessage="1" showErrorMessage="1" errorTitle="Nome do Cliente" error="Inserir o Nome do Cliente" prompt="Nome do Cliente" sqref="G11:I11" xr:uid="{7B0B2975-721F-4D18-87CA-40C1650BBF6D}">
      <formula1>7</formula1>
      <formula2>70</formula2>
    </dataValidation>
    <dataValidation type="list" allowBlank="1" showInputMessage="1" showErrorMessage="1" sqref="H25:I25" xr:uid="{FE843609-12E8-4B07-8AB7-CA55CB88F1E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7079-D211-4334-B659-F7DD60193D3A}">
  <sheetPr>
    <pageSetUpPr fitToPage="1"/>
  </sheetPr>
  <dimension ref="A1:XFD200"/>
  <sheetViews>
    <sheetView showGridLines="0" tabSelected="1" zoomScale="90" zoomScaleNormal="90" workbookViewId="0">
      <selection activeCell="H17" sqref="H17:I17"/>
    </sheetView>
  </sheetViews>
  <sheetFormatPr defaultColWidth="9.140625" defaultRowHeight="15" x14ac:dyDescent="0.25"/>
  <cols>
    <col min="1" max="1" width="9.140625" style="1" customWidth="1"/>
    <col min="2" max="2" width="6.140625" style="1" customWidth="1"/>
    <col min="3" max="3" width="9.140625" style="1" customWidth="1"/>
    <col min="4" max="4" width="9.140625" style="1" hidden="1" customWidth="1"/>
    <col min="5" max="5" width="3.7109375" style="62" hidden="1" customWidth="1"/>
    <col min="6" max="6" width="19.7109375" style="62" customWidth="1"/>
    <col min="7" max="7" width="19.85546875" style="62" customWidth="1"/>
    <col min="8" max="8" width="12.140625" style="62" bestFit="1" customWidth="1"/>
    <col min="9" max="9" width="21.5703125" style="62" customWidth="1"/>
    <col min="10" max="10" width="14.28515625" style="62" bestFit="1" customWidth="1"/>
    <col min="11" max="11" width="18.28515625" style="1" customWidth="1"/>
    <col min="12" max="12" width="20.42578125" style="1" customWidth="1"/>
    <col min="13" max="13" width="12.85546875" style="1" customWidth="1"/>
    <col min="14" max="14" width="22.42578125" style="1" customWidth="1"/>
    <col min="15" max="17" width="9.140625" style="1"/>
    <col min="18" max="18" width="9.42578125" style="1" bestFit="1" customWidth="1"/>
    <col min="19" max="16384" width="9.140625" style="1"/>
  </cols>
  <sheetData>
    <row r="1" spans="1:14 16373:16384" ht="21.6" customHeight="1" x14ac:dyDescent="0.25">
      <c r="A1" s="1" t="str">
        <f>IF(TIR!B4="FOLHA (Online)","","ATENÇÃO")</f>
        <v/>
      </c>
      <c r="F1" s="557" t="str">
        <f>F15</f>
        <v>Obrigações Mota-Engil 2029</v>
      </c>
      <c r="G1" s="557"/>
      <c r="H1" s="557"/>
      <c r="I1" s="557"/>
      <c r="J1" s="557"/>
      <c r="K1" s="557"/>
      <c r="L1" s="557"/>
      <c r="M1" s="557"/>
      <c r="N1" s="557"/>
      <c r="XFB1" s="2" t="s">
        <v>55</v>
      </c>
      <c r="XFC1" s="2"/>
      <c r="XFD1" s="2" t="s">
        <v>55</v>
      </c>
    </row>
    <row r="2" spans="1:14 16373:16384" ht="21" customHeight="1" x14ac:dyDescent="0.25">
      <c r="F2" s="557"/>
      <c r="G2" s="557"/>
      <c r="H2" s="557"/>
      <c r="I2" s="557"/>
      <c r="J2" s="557"/>
      <c r="K2" s="557"/>
      <c r="L2" s="557"/>
      <c r="M2" s="557"/>
      <c r="N2" s="557"/>
      <c r="XFB2" s="2" t="s">
        <v>92</v>
      </c>
      <c r="XFC2" s="2"/>
      <c r="XFD2" s="2" t="s">
        <v>49</v>
      </c>
    </row>
    <row r="3" spans="1:14 16373:16384" ht="21" customHeight="1" x14ac:dyDescent="0.25">
      <c r="F3" s="557"/>
      <c r="G3" s="557"/>
      <c r="H3" s="557"/>
      <c r="I3" s="557"/>
      <c r="J3" s="557"/>
      <c r="K3" s="557"/>
      <c r="L3" s="557"/>
      <c r="M3" s="557"/>
      <c r="N3" s="557"/>
      <c r="XFB3" s="2" t="s">
        <v>93</v>
      </c>
      <c r="XFC3" s="2"/>
      <c r="XFD3" s="2" t="s">
        <v>53</v>
      </c>
    </row>
    <row r="4" spans="1:14 16373:16384" ht="21" customHeight="1" x14ac:dyDescent="0.25">
      <c r="F4" s="557"/>
      <c r="G4" s="557"/>
      <c r="H4" s="557"/>
      <c r="I4" s="557"/>
      <c r="J4" s="557"/>
      <c r="K4" s="557"/>
      <c r="L4" s="557"/>
      <c r="M4" s="557"/>
      <c r="N4" s="557"/>
    </row>
    <row r="5" spans="1:14 16373:16384" ht="21" customHeight="1" x14ac:dyDescent="0.25">
      <c r="F5" s="557"/>
      <c r="G5" s="557"/>
      <c r="H5" s="557"/>
      <c r="I5" s="557"/>
      <c r="J5" s="557"/>
      <c r="K5" s="557"/>
      <c r="L5" s="557"/>
      <c r="M5" s="557"/>
      <c r="N5" s="557"/>
    </row>
    <row r="6" spans="1:14 16373:16384" x14ac:dyDescent="0.25">
      <c r="F6" s="420" t="s">
        <v>79</v>
      </c>
      <c r="G6" s="420"/>
      <c r="H6" s="420"/>
      <c r="I6" s="420"/>
      <c r="J6" s="420"/>
      <c r="K6" s="420"/>
      <c r="L6" s="420"/>
      <c r="M6" s="420"/>
      <c r="N6" s="420"/>
    </row>
    <row r="7" spans="1:14 16373:16384" ht="15.75" x14ac:dyDescent="0.25">
      <c r="F7" s="421" t="s">
        <v>95</v>
      </c>
      <c r="G7" s="421"/>
      <c r="H7" s="421"/>
      <c r="I7" s="421"/>
      <c r="J7" s="263"/>
      <c r="K7" s="406" t="s">
        <v>59</v>
      </c>
      <c r="L7" s="406"/>
      <c r="M7" s="406"/>
      <c r="N7" s="406"/>
    </row>
    <row r="8" spans="1:14 16373:16384" ht="7.5" customHeight="1" thickBot="1" x14ac:dyDescent="0.3">
      <c r="F8" s="1"/>
      <c r="G8" s="1"/>
      <c r="H8" s="1"/>
      <c r="I8" s="1"/>
    </row>
    <row r="9" spans="1:14 16373:16384" ht="25.5" customHeight="1" thickTop="1" thickBot="1" x14ac:dyDescent="0.3">
      <c r="F9" s="390" t="s">
        <v>144</v>
      </c>
      <c r="G9" s="391"/>
      <c r="H9" s="391"/>
      <c r="I9" s="392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25">
      <c r="K10" s="67"/>
      <c r="L10" s="67"/>
      <c r="M10" s="67"/>
      <c r="N10" s="67"/>
    </row>
    <row r="11" spans="1:14 16373:16384" ht="25.5" customHeight="1" x14ac:dyDescent="0.25">
      <c r="F11" s="76" t="s">
        <v>56</v>
      </c>
      <c r="G11" s="562" t="s">
        <v>365</v>
      </c>
      <c r="H11" s="562"/>
      <c r="I11" s="562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25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25">
      <c r="F13" s="76" t="s">
        <v>87</v>
      </c>
      <c r="G13" s="290" t="s">
        <v>366</v>
      </c>
      <c r="H13" s="63" t="s">
        <v>57</v>
      </c>
      <c r="I13" s="291" t="s">
        <v>352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">
      <c r="F15" s="396" t="str">
        <f>TIR!B7</f>
        <v>Obrigações Mota-Engil 2029</v>
      </c>
      <c r="G15" s="397"/>
      <c r="H15" s="397"/>
      <c r="I15" s="398"/>
      <c r="K15" s="105" t="s">
        <v>77</v>
      </c>
      <c r="L15" s="72">
        <f>IF(G11="","",IF(G13="","",IF(I13="","",IF(H25="A PREENCHER","",IF(H27="A PREENCHER","",IF(H27="FALSO","-",TIR!L247))))))</f>
        <v>-150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-34.6</v>
      </c>
    </row>
    <row r="16" spans="1:14 16373:16384" ht="7.5" customHeight="1" thickTop="1" x14ac:dyDescent="0.25">
      <c r="K16" s="95"/>
      <c r="L16" s="67"/>
      <c r="M16" s="67"/>
      <c r="N16" s="71"/>
    </row>
    <row r="17" spans="6:14" ht="30" customHeight="1" x14ac:dyDescent="0.25">
      <c r="F17" s="401" t="s">
        <v>54</v>
      </c>
      <c r="G17" s="402"/>
      <c r="H17" s="399">
        <v>2500</v>
      </c>
      <c r="I17" s="400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25">
      <c r="F18" s="97"/>
      <c r="G18" s="97"/>
      <c r="K18" s="94"/>
      <c r="L18" s="67"/>
      <c r="M18" s="67"/>
      <c r="N18" s="71"/>
    </row>
    <row r="19" spans="6:14" x14ac:dyDescent="0.25">
      <c r="F19" s="395" t="s">
        <v>58</v>
      </c>
      <c r="G19" s="395"/>
      <c r="H19" s="393">
        <f>IF(G11="","",IF(G13="","",IF(I13="","",IF(H25="A PREENCHER","",IF(H27="A PREENCHER","",TIR!B36)))))</f>
        <v>10</v>
      </c>
      <c r="I19" s="394"/>
      <c r="K19" s="106" t="s">
        <v>85</v>
      </c>
      <c r="L19" s="232">
        <f>IF(G11="","",IF(G13="","",IF(I13="","",IF(H25="A PREENCHER","",IF(H27="A PREENCHER","",SUM(L11:L17))))))</f>
        <v>-225</v>
      </c>
      <c r="M19" s="233">
        <f>IF(G11="","",IF(G13="","",IF(I13="","",IF(H25="A PREENCHER","",IF(H27="A PREENCHER","",SUM(M11:M17))))))</f>
        <v>-0.5</v>
      </c>
      <c r="N19" s="234">
        <f>IF(G11="","",IF(G13="","",IF(I13="","",IF(H25="A PREENCHER","",IF(H27="A PREENCHER","",SUM(N11:N17))))))</f>
        <v>-48.980000000000004</v>
      </c>
    </row>
    <row r="20" spans="6:14" ht="7.5" customHeight="1" x14ac:dyDescent="0.25">
      <c r="F20" s="97"/>
      <c r="G20" s="97"/>
      <c r="K20" s="103"/>
      <c r="L20" s="103"/>
      <c r="M20" s="103"/>
      <c r="N20" s="103"/>
    </row>
    <row r="21" spans="6:14" ht="18" customHeight="1" x14ac:dyDescent="0.25">
      <c r="F21" s="395" t="s">
        <v>81</v>
      </c>
      <c r="G21" s="395"/>
      <c r="H21" s="444">
        <f>IF(G11="","",IF(G13="","",IF(I13="","",IF(H25="A PREENCHER","",IF(H27="A PREENCHER","",TIR!B8)))))</f>
        <v>0.05</v>
      </c>
      <c r="I21" s="445"/>
      <c r="K21" s="406" t="s">
        <v>89</v>
      </c>
      <c r="L21" s="406"/>
      <c r="M21" s="406"/>
      <c r="N21" s="406"/>
    </row>
    <row r="22" spans="6:14" ht="7.5" customHeight="1" x14ac:dyDescent="0.25">
      <c r="F22" s="97"/>
      <c r="G22" s="97"/>
    </row>
    <row r="23" spans="6:14" ht="15" customHeight="1" x14ac:dyDescent="0.25">
      <c r="F23" s="395" t="s">
        <v>2</v>
      </c>
      <c r="G23" s="395"/>
      <c r="H23" s="393" t="str">
        <f>IF(G11="","",IF(G13="","",IF(I13="","",IF(H25="A PREENCHER","",IF(H27="A PREENCHER","",'Mota Engil 2024-2029'!E20)))))</f>
        <v>5 anos</v>
      </c>
      <c r="I23" s="394"/>
      <c r="K23" s="407" t="s">
        <v>83</v>
      </c>
      <c r="L23" s="408"/>
      <c r="M23" s="454">
        <f>IF(G11="","",IF(G13="","",IF(I13="","",IF(H25="A PREENCHER","",IF(H27="A PREENCHER","",H17)))))</f>
        <v>2500</v>
      </c>
      <c r="N23" s="455"/>
    </row>
    <row r="24" spans="6:14" ht="7.5" customHeight="1" x14ac:dyDescent="0.25">
      <c r="F24" s="97"/>
      <c r="G24" s="97"/>
      <c r="K24" s="94"/>
      <c r="L24" s="96"/>
      <c r="M24" s="67"/>
      <c r="N24" s="71"/>
    </row>
    <row r="25" spans="6:14" ht="22.5" customHeight="1" x14ac:dyDescent="0.25">
      <c r="F25" s="450" t="s">
        <v>47</v>
      </c>
      <c r="G25" s="451"/>
      <c r="H25" s="560" t="s">
        <v>49</v>
      </c>
      <c r="I25" s="561"/>
      <c r="K25" s="409" t="s">
        <v>84</v>
      </c>
      <c r="L25" s="410"/>
      <c r="M25" s="442">
        <f>IF(G11="","",IF(G13="","",IF(I13="","",IF(H25="A PREENCHER","",IF(H27="A PREENCHER","",TIR!H247)))))</f>
        <v>625</v>
      </c>
      <c r="N25" s="443"/>
    </row>
    <row r="26" spans="6:14" ht="7.5" customHeight="1" x14ac:dyDescent="0.25">
      <c r="F26" s="97"/>
      <c r="G26" s="97"/>
      <c r="K26" s="95"/>
      <c r="L26" s="67"/>
      <c r="M26" s="67"/>
      <c r="N26" s="71"/>
    </row>
    <row r="27" spans="6:14" ht="37.15" customHeight="1" x14ac:dyDescent="0.25">
      <c r="F27" s="452" t="s">
        <v>91</v>
      </c>
      <c r="G27" s="453"/>
      <c r="H27" s="448" t="s">
        <v>92</v>
      </c>
      <c r="I27" s="449"/>
      <c r="K27" s="409" t="str">
        <f>IF(H27="A PREENCHER","",H25&amp;" sobre os Juros ("&amp;TIR!C37&amp;")")</f>
        <v>IRS sobre os Juros (0,28)</v>
      </c>
      <c r="L27" s="410"/>
      <c r="M27" s="442">
        <f>IF(G11="","",IF(G13="","",IF(I13="","",IF(H25="A PREENCHER","",IF(H27="A PREENCHER","",TIR!I247)))))</f>
        <v>-175</v>
      </c>
      <c r="N27" s="443"/>
    </row>
    <row r="28" spans="6:14" ht="7.5" customHeight="1" x14ac:dyDescent="0.25">
      <c r="F28" s="446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46"/>
      <c r="H28" s="446"/>
      <c r="I28" s="446"/>
      <c r="K28" s="95"/>
      <c r="L28" s="67"/>
      <c r="M28" s="67"/>
      <c r="N28" s="71"/>
    </row>
    <row r="29" spans="6:14" ht="22.5" customHeight="1" x14ac:dyDescent="0.25">
      <c r="F29" s="447"/>
      <c r="G29" s="447"/>
      <c r="H29" s="447"/>
      <c r="I29" s="447"/>
      <c r="K29" s="456" t="str">
        <f>"Total de Impostos ("&amp;H25&amp;"; "&amp;M9&amp;"; "&amp;N9&amp;")"</f>
        <v>Total de Impostos (IRS; Imp. Selo; IVA)</v>
      </c>
      <c r="L29" s="457"/>
      <c r="M29" s="442">
        <f>M27+M19+N19</f>
        <v>-224.48000000000002</v>
      </c>
      <c r="N29" s="443"/>
    </row>
    <row r="30" spans="6:14" ht="7.5" customHeight="1" x14ac:dyDescent="0.25">
      <c r="F30" s="433" t="s">
        <v>90</v>
      </c>
      <c r="G30" s="434"/>
      <c r="H30" s="424">
        <f ca="1">IF(G11="","",IF(G13="","",IF(I13="","",IF(H25="A PREENCHER","",IF(H27="A PREENCHER","",TIR!G255)))))</f>
        <v>1.404671E-2</v>
      </c>
      <c r="I30" s="425"/>
      <c r="J30" s="98"/>
      <c r="K30" s="95"/>
      <c r="L30" s="67"/>
      <c r="M30" s="67"/>
      <c r="N30" s="71"/>
    </row>
    <row r="31" spans="6:14" ht="22.5" customHeight="1" x14ac:dyDescent="0.25">
      <c r="F31" s="435"/>
      <c r="G31" s="380"/>
      <c r="H31" s="369"/>
      <c r="I31" s="374"/>
      <c r="J31" s="98"/>
      <c r="K31" s="427" t="s">
        <v>86</v>
      </c>
      <c r="L31" s="428"/>
      <c r="M31" s="429">
        <f>IF(G11="","",IF(G13="","",IF(I13="","",IF(H25="A PREENCHER","",IF(H27="A PREENCHER","",L19+M19+N19)))))</f>
        <v>-274.48</v>
      </c>
      <c r="N31" s="430"/>
    </row>
    <row r="32" spans="6:14" ht="7.5" customHeight="1" x14ac:dyDescent="0.25">
      <c r="F32" s="435"/>
      <c r="G32" s="380"/>
      <c r="H32" s="369"/>
      <c r="I32" s="374"/>
      <c r="J32" s="98"/>
      <c r="K32" s="101"/>
      <c r="L32" s="99"/>
      <c r="M32" s="99"/>
      <c r="N32" s="100"/>
    </row>
    <row r="33" spans="6:15" ht="27.75" customHeight="1" x14ac:dyDescent="0.25">
      <c r="F33" s="558" t="s">
        <v>96</v>
      </c>
      <c r="G33" s="559"/>
      <c r="H33" s="369"/>
      <c r="I33" s="374"/>
      <c r="J33" s="98"/>
      <c r="K33" s="404" t="s">
        <v>94</v>
      </c>
      <c r="L33" s="405"/>
      <c r="M33" s="431">
        <f>IF(G11="","",IF(G13="","",IF(I13="","",IF(H25="A PREENCHER","",IF(H27="A PREENCHER","",M25+M27+M31)))))</f>
        <v>175.51999999999998</v>
      </c>
      <c r="N33" s="432"/>
    </row>
    <row r="34" spans="6:15" ht="20.25" customHeight="1" x14ac:dyDescent="0.25">
      <c r="F34" s="438" t="str">
        <f>"Período de Subscrição: Entre as "&amp;'Mota Engil 2024-2029'!E28</f>
        <v>Período de Subscrição: Entre as 08:30h do dia 30/09/2024 ás 15:00h do dia 11/10/2024</v>
      </c>
      <c r="G34" s="438"/>
      <c r="H34" s="438"/>
      <c r="I34" s="438"/>
      <c r="J34" s="438"/>
      <c r="K34" s="438"/>
      <c r="L34" s="438"/>
      <c r="M34" s="438"/>
      <c r="N34" s="438"/>
    </row>
    <row r="35" spans="6:15" x14ac:dyDescent="0.25">
      <c r="F35" s="437" t="s">
        <v>61</v>
      </c>
      <c r="G35" s="437"/>
      <c r="H35" s="437"/>
      <c r="I35" s="437"/>
      <c r="J35" s="437"/>
      <c r="K35" s="437"/>
      <c r="L35" s="437"/>
      <c r="M35" s="437"/>
      <c r="N35" s="437"/>
    </row>
    <row r="36" spans="6:15" ht="7.5" customHeight="1" x14ac:dyDescent="0.25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" customHeight="1" x14ac:dyDescent="0.25">
      <c r="F37" s="361" t="s">
        <v>258</v>
      </c>
      <c r="G37" s="361"/>
      <c r="H37" s="361"/>
      <c r="I37" s="361"/>
      <c r="J37" s="361"/>
      <c r="K37" s="361"/>
      <c r="L37" s="361"/>
      <c r="M37" s="361"/>
      <c r="N37" s="361"/>
      <c r="O37" s="361"/>
    </row>
    <row r="38" spans="6:15" ht="13.9" customHeight="1" x14ac:dyDescent="0.25">
      <c r="F38" s="361"/>
      <c r="G38" s="361"/>
      <c r="H38" s="361"/>
      <c r="I38" s="361"/>
      <c r="J38" s="361"/>
      <c r="K38" s="361"/>
      <c r="L38" s="361"/>
      <c r="M38" s="361"/>
      <c r="N38" s="361"/>
      <c r="O38" s="361"/>
    </row>
    <row r="39" spans="6:15" ht="13.9" customHeight="1" thickBot="1" x14ac:dyDescent="0.3">
      <c r="F39" s="64"/>
      <c r="G39" s="64"/>
      <c r="H39" s="64"/>
      <c r="I39" s="64"/>
    </row>
    <row r="40" spans="6:15" ht="46.9" customHeight="1" x14ac:dyDescent="0.25">
      <c r="F40" s="216" t="s">
        <v>259</v>
      </c>
      <c r="G40" s="440" t="s">
        <v>266</v>
      </c>
      <c r="H40" s="440"/>
      <c r="I40" s="440" t="s">
        <v>261</v>
      </c>
      <c r="J40" s="458"/>
      <c r="K40" s="440" t="s">
        <v>422</v>
      </c>
      <c r="L40" s="440"/>
      <c r="M40" s="440" t="s">
        <v>260</v>
      </c>
      <c r="N40" s="458"/>
    </row>
    <row r="41" spans="6:15" ht="31.15" customHeight="1" thickBot="1" x14ac:dyDescent="0.3">
      <c r="F41" s="217">
        <f>H17</f>
        <v>2500</v>
      </c>
      <c r="G41" s="441">
        <f>L11+M11+L17+N17</f>
        <v>-28.38</v>
      </c>
      <c r="H41" s="441"/>
      <c r="I41" s="459">
        <f>G41/F41</f>
        <v>-1.1351999999999999E-2</v>
      </c>
      <c r="J41" s="460"/>
      <c r="K41" s="441">
        <f>IF(H27="A PREENCHER","",IF(H27="FALSO",(L13+N13),(L13+N13+L15+N15)))</f>
        <v>-246.1</v>
      </c>
      <c r="L41" s="441"/>
      <c r="M41" s="459">
        <f>IF(K41="","",(K41/F41))</f>
        <v>-9.844E-2</v>
      </c>
      <c r="N41" s="460"/>
    </row>
    <row r="42" spans="6:15" ht="13.9" customHeight="1" x14ac:dyDescent="0.25">
      <c r="F42" s="64"/>
      <c r="G42" s="64"/>
      <c r="H42" s="64"/>
      <c r="I42" s="64"/>
    </row>
    <row r="43" spans="6:15" ht="13.9" customHeight="1" x14ac:dyDescent="0.25">
      <c r="F43" s="388" t="s">
        <v>268</v>
      </c>
      <c r="G43" s="388"/>
      <c r="H43" s="388"/>
      <c r="I43" s="388"/>
      <c r="J43" s="388"/>
      <c r="K43" s="388"/>
      <c r="L43" s="388"/>
      <c r="M43" s="388"/>
      <c r="N43" s="388"/>
      <c r="O43" s="388"/>
    </row>
    <row r="44" spans="6:15" ht="13.9" customHeight="1" x14ac:dyDescent="0.25">
      <c r="F44" s="388" t="s">
        <v>269</v>
      </c>
      <c r="G44" s="388"/>
      <c r="H44" s="388"/>
      <c r="I44" s="388"/>
      <c r="J44" s="388"/>
      <c r="K44" s="388"/>
      <c r="L44" s="388"/>
      <c r="M44" s="388"/>
      <c r="N44" s="388"/>
      <c r="O44" s="388"/>
    </row>
    <row r="45" spans="6:15" ht="13.9" customHeight="1" x14ac:dyDescent="0.25">
      <c r="F45" s="64"/>
      <c r="G45" s="64"/>
      <c r="H45" s="64"/>
      <c r="I45" s="64"/>
    </row>
    <row r="46" spans="6:15" ht="13.9" customHeight="1" x14ac:dyDescent="0.25">
      <c r="F46" s="361" t="s">
        <v>256</v>
      </c>
      <c r="G46" s="361"/>
      <c r="H46" s="361"/>
      <c r="I46" s="361"/>
      <c r="J46" s="361"/>
      <c r="K46" s="361"/>
      <c r="L46" s="361"/>
      <c r="M46" s="361"/>
      <c r="N46" s="361"/>
      <c r="O46" s="361"/>
    </row>
    <row r="47" spans="6:15" ht="13.9" customHeight="1" x14ac:dyDescent="0.25">
      <c r="F47" s="361"/>
      <c r="G47" s="361"/>
      <c r="H47" s="361"/>
      <c r="I47" s="361"/>
      <c r="J47" s="361"/>
      <c r="K47" s="361"/>
      <c r="L47" s="361"/>
      <c r="M47" s="361"/>
      <c r="N47" s="361"/>
      <c r="O47" s="361"/>
    </row>
    <row r="48" spans="6:15" ht="13.9" customHeight="1" thickBot="1" x14ac:dyDescent="0.3">
      <c r="F48" s="64"/>
      <c r="G48" s="64"/>
      <c r="H48" s="64"/>
      <c r="I48" s="64"/>
    </row>
    <row r="49" spans="6:14" ht="13.9" customHeight="1" x14ac:dyDescent="0.25">
      <c r="F49" s="376" t="s">
        <v>247</v>
      </c>
      <c r="G49" s="377"/>
      <c r="H49" s="377"/>
      <c r="I49" s="378"/>
      <c r="J49" s="367">
        <f ca="1">IF(G11="","",IF(G13="","",IF(I13="","",IF(H25="A PREENCHER","",IF(H27="A PREENCHER","",TIR!G261)))))</f>
        <v>3.2154599999999998E-2</v>
      </c>
      <c r="K49" s="373"/>
      <c r="L49" s="364" t="s">
        <v>248</v>
      </c>
      <c r="M49" s="367">
        <f ca="1">IF(G11="","",IF(G13="","",IF(I13="","",IF(H25="A PREENCHER","",IF(H27="A PREENCHER","",TIR!G267)))))</f>
        <v>-0.56315084000422955</v>
      </c>
      <c r="N49" s="368"/>
    </row>
    <row r="50" spans="6:14" ht="13.9" customHeight="1" x14ac:dyDescent="0.25">
      <c r="F50" s="379"/>
      <c r="G50" s="380"/>
      <c r="H50" s="380"/>
      <c r="I50" s="381"/>
      <c r="J50" s="369"/>
      <c r="K50" s="374"/>
      <c r="L50" s="365"/>
      <c r="M50" s="369"/>
      <c r="N50" s="370"/>
    </row>
    <row r="51" spans="6:14" ht="13.9" customHeight="1" x14ac:dyDescent="0.25">
      <c r="F51" s="379"/>
      <c r="G51" s="380"/>
      <c r="H51" s="380"/>
      <c r="I51" s="381"/>
      <c r="J51" s="369"/>
      <c r="K51" s="374"/>
      <c r="L51" s="365"/>
      <c r="M51" s="369"/>
      <c r="N51" s="370"/>
    </row>
    <row r="52" spans="6:14" ht="22.9" customHeight="1" thickBot="1" x14ac:dyDescent="0.3">
      <c r="F52" s="382" t="s">
        <v>96</v>
      </c>
      <c r="G52" s="383"/>
      <c r="H52" s="383"/>
      <c r="I52" s="384"/>
      <c r="J52" s="371"/>
      <c r="K52" s="375"/>
      <c r="L52" s="366"/>
      <c r="M52" s="371"/>
      <c r="N52" s="372"/>
    </row>
    <row r="53" spans="6:14" ht="13.9" customHeight="1" x14ac:dyDescent="0.25">
      <c r="F53" s="64"/>
      <c r="G53" s="64"/>
      <c r="H53" s="64"/>
      <c r="I53" s="64"/>
    </row>
    <row r="54" spans="6:14" ht="15.6" customHeight="1" x14ac:dyDescent="0.25">
      <c r="F54" s="439">
        <f ca="1">IF(TODAY()&lt;'Mota Engil 2024-2029'!B25,'Mota Engil 2024-2029'!B25,TODAY())</f>
        <v>45565</v>
      </c>
      <c r="G54" s="439"/>
      <c r="H54" s="439"/>
      <c r="I54" s="439"/>
      <c r="J54" s="439"/>
      <c r="K54" s="439"/>
      <c r="L54" s="439"/>
      <c r="M54" s="439"/>
      <c r="N54" s="439"/>
    </row>
    <row r="55" spans="6:14" ht="7.5" customHeight="1" x14ac:dyDescent="0.25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75" x14ac:dyDescent="0.25">
      <c r="L56" s="406"/>
      <c r="M56" s="406"/>
    </row>
    <row r="57" spans="6:14" ht="15" customHeight="1" x14ac:dyDescent="0.25">
      <c r="G57" s="406"/>
      <c r="H57" s="406"/>
      <c r="L57" s="64"/>
      <c r="M57" s="64"/>
    </row>
    <row r="58" spans="6:14" x14ac:dyDescent="0.25">
      <c r="G58" s="64"/>
      <c r="L58" s="64"/>
      <c r="M58" s="64"/>
    </row>
    <row r="59" spans="6:14" ht="7.5" customHeight="1" x14ac:dyDescent="0.25">
      <c r="G59" s="64"/>
      <c r="L59" s="64"/>
      <c r="M59" s="64"/>
    </row>
    <row r="60" spans="6:14" ht="15" customHeight="1" x14ac:dyDescent="0.25">
      <c r="G60" s="426"/>
      <c r="H60" s="426"/>
      <c r="K60" s="436"/>
      <c r="L60" s="436"/>
      <c r="M60" s="436"/>
      <c r="N60" s="436"/>
    </row>
    <row r="61" spans="6:14" ht="25.5" x14ac:dyDescent="0.35">
      <c r="G61" s="64"/>
      <c r="K61" s="385"/>
      <c r="L61" s="385"/>
      <c r="M61" s="385"/>
      <c r="N61" s="385"/>
    </row>
    <row r="62" spans="6:14" x14ac:dyDescent="0.25">
      <c r="L62" s="386"/>
      <c r="M62" s="386"/>
    </row>
    <row r="63" spans="6:14" x14ac:dyDescent="0.25">
      <c r="F63" s="403"/>
      <c r="G63" s="403"/>
      <c r="H63" s="403"/>
      <c r="I63" s="403"/>
      <c r="J63" s="403"/>
      <c r="K63" s="403"/>
      <c r="L63" s="403"/>
      <c r="M63" s="403"/>
      <c r="N63" s="403"/>
    </row>
    <row r="65" spans="6:15" ht="31.5" customHeight="1" x14ac:dyDescent="0.25">
      <c r="F65" s="1"/>
      <c r="G65" s="1"/>
      <c r="H65" s="1"/>
      <c r="I65" s="1"/>
    </row>
    <row r="66" spans="6:15" ht="24" customHeight="1" x14ac:dyDescent="0.25">
      <c r="F66" s="1"/>
      <c r="G66" s="1"/>
      <c r="H66" s="1"/>
      <c r="I66" s="1"/>
    </row>
    <row r="67" spans="6:15" ht="7.5" customHeight="1" x14ac:dyDescent="0.25"/>
    <row r="68" spans="6:15" ht="27" customHeight="1" x14ac:dyDescent="0.25">
      <c r="F68" s="1"/>
      <c r="G68" s="1"/>
      <c r="H68" s="1"/>
      <c r="I68" s="1"/>
      <c r="J68" s="1"/>
    </row>
    <row r="69" spans="6:15" ht="15" customHeight="1" x14ac:dyDescent="0.25">
      <c r="F69" s="1"/>
      <c r="G69" s="1"/>
      <c r="H69" s="1"/>
      <c r="I69" s="1"/>
      <c r="J69" s="1"/>
    </row>
    <row r="70" spans="6:15" ht="13.9" customHeight="1" x14ac:dyDescent="0.25">
      <c r="F70" s="64"/>
      <c r="G70" s="64"/>
      <c r="H70" s="64"/>
      <c r="I70" s="64"/>
    </row>
    <row r="71" spans="6:15" ht="13.9" customHeight="1" x14ac:dyDescent="0.25"/>
    <row r="72" spans="6:15" ht="13.9" customHeight="1" x14ac:dyDescent="0.25">
      <c r="F72" s="361" t="s">
        <v>257</v>
      </c>
      <c r="G72" s="361"/>
      <c r="H72" s="361"/>
      <c r="I72" s="361"/>
      <c r="J72" s="361"/>
      <c r="K72" s="361"/>
      <c r="L72" s="361"/>
      <c r="M72" s="361"/>
      <c r="N72" s="361"/>
      <c r="O72" s="361"/>
    </row>
    <row r="73" spans="6:15" ht="13.9" customHeight="1" x14ac:dyDescent="0.25">
      <c r="F73" s="361"/>
      <c r="G73" s="361"/>
      <c r="H73" s="361"/>
      <c r="I73" s="361"/>
      <c r="J73" s="361"/>
      <c r="K73" s="361"/>
      <c r="L73" s="361"/>
      <c r="M73" s="361"/>
      <c r="N73" s="361"/>
      <c r="O73" s="361"/>
    </row>
    <row r="74" spans="6:15" ht="13.9" customHeight="1" x14ac:dyDescent="0.25"/>
    <row r="75" spans="6:15" ht="13.9" customHeight="1" x14ac:dyDescent="0.25">
      <c r="F75" s="358" t="s">
        <v>62</v>
      </c>
      <c r="G75" s="363" t="s">
        <v>252</v>
      </c>
      <c r="H75" s="363"/>
      <c r="I75" s="363"/>
      <c r="J75" s="362" t="s">
        <v>39</v>
      </c>
      <c r="K75" s="362"/>
      <c r="L75" s="362"/>
      <c r="M75" s="362"/>
      <c r="N75" s="359" t="s">
        <v>77</v>
      </c>
      <c r="O75" s="359"/>
    </row>
    <row r="76" spans="6:15" ht="13.9" customHeight="1" x14ac:dyDescent="0.25">
      <c r="F76" s="358"/>
      <c r="G76" s="213" t="s">
        <v>41</v>
      </c>
      <c r="H76" s="213" t="str">
        <f>TIR!F202</f>
        <v>Comissão</v>
      </c>
      <c r="I76" s="213" t="s">
        <v>250</v>
      </c>
      <c r="J76" s="211" t="s">
        <v>254</v>
      </c>
      <c r="K76" s="212" t="s">
        <v>255</v>
      </c>
      <c r="L76" s="212" t="str">
        <f>TIR!J202</f>
        <v>Comissão</v>
      </c>
      <c r="M76" s="212" t="str">
        <f>TIR!K202</f>
        <v>IVA</v>
      </c>
      <c r="N76" s="214" t="s">
        <v>42</v>
      </c>
      <c r="O76" s="214" t="str">
        <f>TIR!M202</f>
        <v>IVA</v>
      </c>
    </row>
    <row r="77" spans="6:15" ht="13.9" customHeight="1" x14ac:dyDescent="0.25">
      <c r="F77" s="202">
        <f>TIR!D203</f>
        <v>45581</v>
      </c>
      <c r="G77" s="203">
        <f>TIR!U203</f>
        <v>-2500</v>
      </c>
      <c r="H77" s="203">
        <f>TIR!V203</f>
        <v>-12.5</v>
      </c>
      <c r="I77" s="203">
        <f>TIR!W203</f>
        <v>-0.5</v>
      </c>
      <c r="J77" s="204">
        <f>TIR!H203</f>
        <v>0</v>
      </c>
      <c r="K77" s="204">
        <f>TIR!I203</f>
        <v>0</v>
      </c>
      <c r="L77" s="204">
        <f>TIR!J203</f>
        <v>0</v>
      </c>
      <c r="M77" s="204">
        <f>TIR!K203</f>
        <v>0</v>
      </c>
      <c r="N77" s="215">
        <f>TIR!L203</f>
        <v>0</v>
      </c>
      <c r="O77" s="215">
        <f>TIR!M203</f>
        <v>0</v>
      </c>
    </row>
    <row r="78" spans="6:15" ht="13.9" customHeight="1" x14ac:dyDescent="0.25">
      <c r="F78" s="202">
        <f>TIR!D204</f>
        <v>45658</v>
      </c>
      <c r="G78" s="203">
        <f>TIR!U204</f>
        <v>0</v>
      </c>
      <c r="H78" s="203">
        <f>TIR!V204</f>
        <v>0</v>
      </c>
      <c r="I78" s="203">
        <f>TIR!W204</f>
        <v>0</v>
      </c>
      <c r="J78" s="204">
        <f>TIR!H204</f>
        <v>0</v>
      </c>
      <c r="K78" s="204">
        <f>TIR!I204</f>
        <v>0</v>
      </c>
      <c r="L78" s="204">
        <f>TIR!J204</f>
        <v>0</v>
      </c>
      <c r="M78" s="204">
        <f>TIR!K204</f>
        <v>0</v>
      </c>
      <c r="N78" s="215">
        <f>TIR!L204</f>
        <v>-7.5</v>
      </c>
      <c r="O78" s="215">
        <f>TIR!M204</f>
        <v>-1.73</v>
      </c>
    </row>
    <row r="79" spans="6:15" ht="13.9" customHeight="1" x14ac:dyDescent="0.25">
      <c r="F79" s="202">
        <f>TIR!D205</f>
        <v>45748</v>
      </c>
      <c r="G79" s="203">
        <f>TIR!U205</f>
        <v>0</v>
      </c>
      <c r="H79" s="203">
        <f>TIR!V205</f>
        <v>0</v>
      </c>
      <c r="I79" s="203">
        <f>TIR!W205</f>
        <v>0</v>
      </c>
      <c r="J79" s="204">
        <f>TIR!H205</f>
        <v>0</v>
      </c>
      <c r="K79" s="204">
        <f>TIR!I205</f>
        <v>0</v>
      </c>
      <c r="L79" s="204">
        <f>TIR!J205</f>
        <v>0</v>
      </c>
      <c r="M79" s="204">
        <f>TIR!K205</f>
        <v>0</v>
      </c>
      <c r="N79" s="215">
        <f>TIR!L205</f>
        <v>-7.5</v>
      </c>
      <c r="O79" s="215">
        <f>TIR!M205</f>
        <v>-1.73</v>
      </c>
    </row>
    <row r="80" spans="6:15" ht="13.9" customHeight="1" x14ac:dyDescent="0.25">
      <c r="F80" s="202">
        <f>TIR!D206</f>
        <v>45763</v>
      </c>
      <c r="G80" s="203">
        <f>TIR!U206</f>
        <v>0</v>
      </c>
      <c r="H80" s="203">
        <f>TIR!V206</f>
        <v>0</v>
      </c>
      <c r="I80" s="203">
        <f>TIR!W206</f>
        <v>0</v>
      </c>
      <c r="J80" s="204">
        <f>TIR!H206</f>
        <v>62.5</v>
      </c>
      <c r="K80" s="204">
        <f>TIR!I206</f>
        <v>-17.5</v>
      </c>
      <c r="L80" s="204">
        <f>TIR!J206</f>
        <v>-5</v>
      </c>
      <c r="M80" s="204">
        <f>TIR!K206</f>
        <v>-1.1499999999999999</v>
      </c>
      <c r="N80" s="215">
        <f>TIR!L206</f>
        <v>0</v>
      </c>
      <c r="O80" s="215">
        <f>TIR!M206</f>
        <v>0</v>
      </c>
    </row>
    <row r="81" spans="6:15" ht="13.9" customHeight="1" x14ac:dyDescent="0.25">
      <c r="F81" s="202">
        <f>TIR!D207</f>
        <v>45839</v>
      </c>
      <c r="G81" s="203">
        <f>TIR!U207</f>
        <v>0</v>
      </c>
      <c r="H81" s="203">
        <f>TIR!V207</f>
        <v>0</v>
      </c>
      <c r="I81" s="203">
        <f>TIR!W207</f>
        <v>0</v>
      </c>
      <c r="J81" s="204">
        <f>TIR!H207</f>
        <v>0</v>
      </c>
      <c r="K81" s="204">
        <f>TIR!I207</f>
        <v>0</v>
      </c>
      <c r="L81" s="204">
        <f>TIR!J207</f>
        <v>0</v>
      </c>
      <c r="M81" s="204">
        <f>TIR!K207</f>
        <v>0</v>
      </c>
      <c r="N81" s="215">
        <f>TIR!L207</f>
        <v>-7.5</v>
      </c>
      <c r="O81" s="215">
        <f>TIR!M207</f>
        <v>-1.73</v>
      </c>
    </row>
    <row r="82" spans="6:15" ht="13.9" customHeight="1" x14ac:dyDescent="0.25">
      <c r="F82" s="202">
        <f>TIR!D208</f>
        <v>45931</v>
      </c>
      <c r="G82" s="203">
        <f>TIR!U208</f>
        <v>0</v>
      </c>
      <c r="H82" s="203">
        <f>TIR!V208</f>
        <v>0</v>
      </c>
      <c r="I82" s="203">
        <f>TIR!W208</f>
        <v>0</v>
      </c>
      <c r="J82" s="204">
        <f>TIR!H208</f>
        <v>0</v>
      </c>
      <c r="K82" s="204">
        <f>TIR!I208</f>
        <v>0</v>
      </c>
      <c r="L82" s="204">
        <f>TIR!J208</f>
        <v>0</v>
      </c>
      <c r="M82" s="204">
        <f>TIR!K208</f>
        <v>0</v>
      </c>
      <c r="N82" s="215">
        <f>TIR!L208</f>
        <v>-7.5</v>
      </c>
      <c r="O82" s="215">
        <f>TIR!M208</f>
        <v>-1.73</v>
      </c>
    </row>
    <row r="83" spans="6:15" ht="13.9" customHeight="1" x14ac:dyDescent="0.25">
      <c r="F83" s="202">
        <f>TIR!D209</f>
        <v>45946</v>
      </c>
      <c r="G83" s="203">
        <f>TIR!U209</f>
        <v>0</v>
      </c>
      <c r="H83" s="203">
        <f>TIR!V209</f>
        <v>0</v>
      </c>
      <c r="I83" s="203">
        <f>TIR!W209</f>
        <v>0</v>
      </c>
      <c r="J83" s="204">
        <f>TIR!H209</f>
        <v>62.5</v>
      </c>
      <c r="K83" s="204">
        <f>TIR!I209</f>
        <v>-17.5</v>
      </c>
      <c r="L83" s="204">
        <f>TIR!J209</f>
        <v>-5</v>
      </c>
      <c r="M83" s="204">
        <f>TIR!K209</f>
        <v>-1.1499999999999999</v>
      </c>
      <c r="N83" s="215">
        <f>TIR!L209</f>
        <v>0</v>
      </c>
      <c r="O83" s="215">
        <f>TIR!M209</f>
        <v>0</v>
      </c>
    </row>
    <row r="84" spans="6:15" ht="13.9" customHeight="1" x14ac:dyDescent="0.25">
      <c r="F84" s="202">
        <f>TIR!D210</f>
        <v>46023</v>
      </c>
      <c r="G84" s="203">
        <f>TIR!U210</f>
        <v>0</v>
      </c>
      <c r="H84" s="203">
        <f>TIR!V210</f>
        <v>0</v>
      </c>
      <c r="I84" s="203">
        <f>TIR!W210</f>
        <v>0</v>
      </c>
      <c r="J84" s="204">
        <f>TIR!H210</f>
        <v>0</v>
      </c>
      <c r="K84" s="204">
        <f>TIR!I210</f>
        <v>0</v>
      </c>
      <c r="L84" s="204">
        <f>TIR!J210</f>
        <v>0</v>
      </c>
      <c r="M84" s="204">
        <f>TIR!K210</f>
        <v>0</v>
      </c>
      <c r="N84" s="215">
        <f>TIR!L210</f>
        <v>-7.5</v>
      </c>
      <c r="O84" s="215">
        <f>TIR!M210</f>
        <v>-1.73</v>
      </c>
    </row>
    <row r="85" spans="6:15" ht="13.9" customHeight="1" x14ac:dyDescent="0.25">
      <c r="F85" s="202">
        <f>TIR!D211</f>
        <v>46113</v>
      </c>
      <c r="G85" s="203">
        <f>TIR!U211</f>
        <v>0</v>
      </c>
      <c r="H85" s="203">
        <f>TIR!V211</f>
        <v>0</v>
      </c>
      <c r="I85" s="203">
        <f>TIR!W211</f>
        <v>0</v>
      </c>
      <c r="J85" s="204">
        <f>TIR!H211</f>
        <v>0</v>
      </c>
      <c r="K85" s="204">
        <f>TIR!I211</f>
        <v>0</v>
      </c>
      <c r="L85" s="204">
        <f>TIR!J211</f>
        <v>0</v>
      </c>
      <c r="M85" s="204">
        <f>TIR!K211</f>
        <v>0</v>
      </c>
      <c r="N85" s="215">
        <f>TIR!L211</f>
        <v>-7.5</v>
      </c>
      <c r="O85" s="215">
        <f>TIR!M211</f>
        <v>-1.73</v>
      </c>
    </row>
    <row r="86" spans="6:15" ht="13.9" customHeight="1" x14ac:dyDescent="0.25">
      <c r="F86" s="202">
        <f>TIR!D212</f>
        <v>46128</v>
      </c>
      <c r="G86" s="203">
        <f>TIR!U212</f>
        <v>0</v>
      </c>
      <c r="H86" s="203">
        <f>TIR!V212</f>
        <v>0</v>
      </c>
      <c r="I86" s="203">
        <f>TIR!W212</f>
        <v>0</v>
      </c>
      <c r="J86" s="204">
        <f>TIR!H212</f>
        <v>62.5</v>
      </c>
      <c r="K86" s="204">
        <f>TIR!I212</f>
        <v>-17.5</v>
      </c>
      <c r="L86" s="204">
        <f>TIR!J212</f>
        <v>-5</v>
      </c>
      <c r="M86" s="204">
        <f>TIR!K212</f>
        <v>-1.1499999999999999</v>
      </c>
      <c r="N86" s="215">
        <f>TIR!L212</f>
        <v>0</v>
      </c>
      <c r="O86" s="215">
        <f>TIR!M212</f>
        <v>0</v>
      </c>
    </row>
    <row r="87" spans="6:15" ht="13.9" customHeight="1" x14ac:dyDescent="0.25">
      <c r="F87" s="202">
        <f>TIR!D213</f>
        <v>46204</v>
      </c>
      <c r="G87" s="203">
        <f>TIR!U213</f>
        <v>0</v>
      </c>
      <c r="H87" s="203">
        <f>TIR!V213</f>
        <v>0</v>
      </c>
      <c r="I87" s="203">
        <f>TIR!W213</f>
        <v>0</v>
      </c>
      <c r="J87" s="204">
        <f>TIR!H213</f>
        <v>0</v>
      </c>
      <c r="K87" s="204">
        <f>TIR!I213</f>
        <v>0</v>
      </c>
      <c r="L87" s="204">
        <f>TIR!J213</f>
        <v>0</v>
      </c>
      <c r="M87" s="204">
        <f>TIR!K213</f>
        <v>0</v>
      </c>
      <c r="N87" s="215">
        <f>TIR!L213</f>
        <v>-7.5</v>
      </c>
      <c r="O87" s="215">
        <f>TIR!M213</f>
        <v>-1.73</v>
      </c>
    </row>
    <row r="88" spans="6:15" ht="13.9" customHeight="1" x14ac:dyDescent="0.25">
      <c r="F88" s="202">
        <f>TIR!D214</f>
        <v>46296</v>
      </c>
      <c r="G88" s="203">
        <f>TIR!U214</f>
        <v>0</v>
      </c>
      <c r="H88" s="203">
        <f>TIR!V214</f>
        <v>0</v>
      </c>
      <c r="I88" s="203">
        <f>TIR!W214</f>
        <v>0</v>
      </c>
      <c r="J88" s="204">
        <f>TIR!H214</f>
        <v>0</v>
      </c>
      <c r="K88" s="204">
        <f>TIR!I214</f>
        <v>0</v>
      </c>
      <c r="L88" s="204">
        <f>TIR!J214</f>
        <v>0</v>
      </c>
      <c r="M88" s="204">
        <f>TIR!K214</f>
        <v>0</v>
      </c>
      <c r="N88" s="215">
        <f>TIR!L214</f>
        <v>-7.5</v>
      </c>
      <c r="O88" s="215">
        <f>TIR!M214</f>
        <v>-1.73</v>
      </c>
    </row>
    <row r="89" spans="6:15" ht="13.9" customHeight="1" x14ac:dyDescent="0.25">
      <c r="F89" s="202">
        <f>TIR!D215</f>
        <v>46311</v>
      </c>
      <c r="G89" s="203">
        <f>TIR!U215</f>
        <v>0</v>
      </c>
      <c r="H89" s="203">
        <f>TIR!V215</f>
        <v>0</v>
      </c>
      <c r="I89" s="203">
        <f>TIR!W215</f>
        <v>0</v>
      </c>
      <c r="J89" s="204">
        <f>TIR!H215</f>
        <v>62.5</v>
      </c>
      <c r="K89" s="204">
        <f>TIR!I215</f>
        <v>-17.5</v>
      </c>
      <c r="L89" s="204">
        <f>TIR!J215</f>
        <v>-5</v>
      </c>
      <c r="M89" s="204">
        <f>TIR!K215</f>
        <v>-1.1499999999999999</v>
      </c>
      <c r="N89" s="215">
        <f>TIR!L215</f>
        <v>0</v>
      </c>
      <c r="O89" s="215">
        <f>TIR!M215</f>
        <v>0</v>
      </c>
    </row>
    <row r="90" spans="6:15" ht="13.9" customHeight="1" x14ac:dyDescent="0.25">
      <c r="F90" s="202">
        <f>TIR!D216</f>
        <v>46388</v>
      </c>
      <c r="G90" s="203">
        <f>TIR!U216</f>
        <v>0</v>
      </c>
      <c r="H90" s="203">
        <f>TIR!V216</f>
        <v>0</v>
      </c>
      <c r="I90" s="203">
        <f>TIR!W216</f>
        <v>0</v>
      </c>
      <c r="J90" s="204">
        <f>TIR!H216</f>
        <v>0</v>
      </c>
      <c r="K90" s="204">
        <f>TIR!I216</f>
        <v>0</v>
      </c>
      <c r="L90" s="204">
        <f>TIR!J216</f>
        <v>0</v>
      </c>
      <c r="M90" s="204">
        <f>TIR!K216</f>
        <v>0</v>
      </c>
      <c r="N90" s="215">
        <f>TIR!L216</f>
        <v>-7.5</v>
      </c>
      <c r="O90" s="215">
        <f>TIR!M216</f>
        <v>-1.73</v>
      </c>
    </row>
    <row r="91" spans="6:15" ht="13.9" customHeight="1" x14ac:dyDescent="0.25">
      <c r="F91" s="202">
        <f>TIR!D217</f>
        <v>46478</v>
      </c>
      <c r="G91" s="203">
        <f>TIR!U217</f>
        <v>0</v>
      </c>
      <c r="H91" s="203">
        <f>TIR!V217</f>
        <v>0</v>
      </c>
      <c r="I91" s="203">
        <f>TIR!W217</f>
        <v>0</v>
      </c>
      <c r="J91" s="204">
        <f>TIR!H217</f>
        <v>0</v>
      </c>
      <c r="K91" s="204">
        <f>TIR!I217</f>
        <v>0</v>
      </c>
      <c r="L91" s="204">
        <f>TIR!J217</f>
        <v>0</v>
      </c>
      <c r="M91" s="204">
        <f>TIR!K217</f>
        <v>0</v>
      </c>
      <c r="N91" s="215">
        <f>TIR!L217</f>
        <v>-7.5</v>
      </c>
      <c r="O91" s="215">
        <f>TIR!M217</f>
        <v>-1.73</v>
      </c>
    </row>
    <row r="92" spans="6:15" ht="13.9" customHeight="1" x14ac:dyDescent="0.25">
      <c r="F92" s="202">
        <f>TIR!D218</f>
        <v>46493</v>
      </c>
      <c r="G92" s="203">
        <f>TIR!U218</f>
        <v>0</v>
      </c>
      <c r="H92" s="203">
        <f>TIR!V218</f>
        <v>0</v>
      </c>
      <c r="I92" s="203">
        <f>TIR!W218</f>
        <v>0</v>
      </c>
      <c r="J92" s="204">
        <f>TIR!H218</f>
        <v>62.5</v>
      </c>
      <c r="K92" s="204">
        <f>TIR!I218</f>
        <v>-17.5</v>
      </c>
      <c r="L92" s="204">
        <f>TIR!J218</f>
        <v>-5</v>
      </c>
      <c r="M92" s="204">
        <f>TIR!K218</f>
        <v>-1.1499999999999999</v>
      </c>
      <c r="N92" s="215">
        <f>TIR!L218</f>
        <v>0</v>
      </c>
      <c r="O92" s="215">
        <f>TIR!M218</f>
        <v>0</v>
      </c>
    </row>
    <row r="93" spans="6:15" ht="13.9" customHeight="1" x14ac:dyDescent="0.25">
      <c r="F93" s="202">
        <f>TIR!D219</f>
        <v>46569</v>
      </c>
      <c r="G93" s="203">
        <f>TIR!U219</f>
        <v>0</v>
      </c>
      <c r="H93" s="203">
        <f>TIR!V219</f>
        <v>0</v>
      </c>
      <c r="I93" s="203">
        <f>TIR!W219</f>
        <v>0</v>
      </c>
      <c r="J93" s="204">
        <f>TIR!H219</f>
        <v>0</v>
      </c>
      <c r="K93" s="204">
        <f>TIR!I219</f>
        <v>0</v>
      </c>
      <c r="L93" s="204">
        <f>TIR!J219</f>
        <v>0</v>
      </c>
      <c r="M93" s="204">
        <f>TIR!K219</f>
        <v>0</v>
      </c>
      <c r="N93" s="215">
        <f>TIR!L219</f>
        <v>-7.5</v>
      </c>
      <c r="O93" s="215">
        <f>TIR!M219</f>
        <v>-1.73</v>
      </c>
    </row>
    <row r="94" spans="6:15" ht="13.9" customHeight="1" x14ac:dyDescent="0.25">
      <c r="F94" s="202">
        <f>TIR!D220</f>
        <v>46661</v>
      </c>
      <c r="G94" s="203">
        <f>TIR!U220</f>
        <v>0</v>
      </c>
      <c r="H94" s="203">
        <f>TIR!V220</f>
        <v>0</v>
      </c>
      <c r="I94" s="203">
        <f>TIR!W220</f>
        <v>0</v>
      </c>
      <c r="J94" s="204">
        <f>TIR!H220</f>
        <v>0</v>
      </c>
      <c r="K94" s="204">
        <f>TIR!I220</f>
        <v>0</v>
      </c>
      <c r="L94" s="204">
        <f>TIR!J220</f>
        <v>0</v>
      </c>
      <c r="M94" s="204">
        <f>TIR!K220</f>
        <v>0</v>
      </c>
      <c r="N94" s="215">
        <f>TIR!L220</f>
        <v>-7.5</v>
      </c>
      <c r="O94" s="215">
        <f>TIR!M220</f>
        <v>-1.73</v>
      </c>
    </row>
    <row r="95" spans="6:15" ht="13.9" customHeight="1" x14ac:dyDescent="0.25">
      <c r="F95" s="202">
        <f>TIR!D221</f>
        <v>46676</v>
      </c>
      <c r="G95" s="203">
        <f>TIR!U221</f>
        <v>0</v>
      </c>
      <c r="H95" s="203">
        <f>TIR!V221</f>
        <v>0</v>
      </c>
      <c r="I95" s="203">
        <f>TIR!W221</f>
        <v>0</v>
      </c>
      <c r="J95" s="204">
        <f>TIR!H221</f>
        <v>62.5</v>
      </c>
      <c r="K95" s="204">
        <f>TIR!I221</f>
        <v>-17.5</v>
      </c>
      <c r="L95" s="204">
        <f>TIR!J221</f>
        <v>-5</v>
      </c>
      <c r="M95" s="204">
        <f>TIR!K221</f>
        <v>-1.1499999999999999</v>
      </c>
      <c r="N95" s="215">
        <f>TIR!L221</f>
        <v>0</v>
      </c>
      <c r="O95" s="215">
        <f>TIR!M221</f>
        <v>0</v>
      </c>
    </row>
    <row r="96" spans="6:15" ht="13.9" customHeight="1" x14ac:dyDescent="0.25">
      <c r="F96" s="202">
        <f>TIR!D222</f>
        <v>46753</v>
      </c>
      <c r="G96" s="203">
        <f>TIR!U222</f>
        <v>0</v>
      </c>
      <c r="H96" s="203">
        <f>TIR!V222</f>
        <v>0</v>
      </c>
      <c r="I96" s="203">
        <f>TIR!W222</f>
        <v>0</v>
      </c>
      <c r="J96" s="204">
        <f>TIR!H222</f>
        <v>0</v>
      </c>
      <c r="K96" s="204">
        <f>TIR!I222</f>
        <v>0</v>
      </c>
      <c r="L96" s="204">
        <f>TIR!J222</f>
        <v>0</v>
      </c>
      <c r="M96" s="204">
        <f>TIR!K222</f>
        <v>0</v>
      </c>
      <c r="N96" s="215">
        <f>TIR!L222</f>
        <v>-7.5</v>
      </c>
      <c r="O96" s="215">
        <f>TIR!M222</f>
        <v>-1.73</v>
      </c>
    </row>
    <row r="97" spans="6:15" ht="13.9" customHeight="1" x14ac:dyDescent="0.25">
      <c r="F97" s="202">
        <f>TIR!D223</f>
        <v>46844</v>
      </c>
      <c r="G97" s="203">
        <f>TIR!U223</f>
        <v>0</v>
      </c>
      <c r="H97" s="203">
        <f>TIR!V223</f>
        <v>0</v>
      </c>
      <c r="I97" s="203">
        <f>TIR!W223</f>
        <v>0</v>
      </c>
      <c r="J97" s="204">
        <f>TIR!H223</f>
        <v>0</v>
      </c>
      <c r="K97" s="204">
        <f>TIR!I223</f>
        <v>0</v>
      </c>
      <c r="L97" s="204">
        <f>TIR!J223</f>
        <v>0</v>
      </c>
      <c r="M97" s="204">
        <f>TIR!K223</f>
        <v>0</v>
      </c>
      <c r="N97" s="215">
        <f>TIR!L223</f>
        <v>-7.5</v>
      </c>
      <c r="O97" s="215">
        <f>TIR!M223</f>
        <v>-1.73</v>
      </c>
    </row>
    <row r="98" spans="6:15" ht="13.9" customHeight="1" x14ac:dyDescent="0.25">
      <c r="F98" s="202">
        <f>TIR!D224</f>
        <v>46859</v>
      </c>
      <c r="G98" s="203">
        <f>TIR!U224</f>
        <v>0</v>
      </c>
      <c r="H98" s="203">
        <f>TIR!V224</f>
        <v>0</v>
      </c>
      <c r="I98" s="203">
        <f>TIR!W224</f>
        <v>0</v>
      </c>
      <c r="J98" s="204">
        <f>TIR!H224</f>
        <v>62.5</v>
      </c>
      <c r="K98" s="204">
        <f>TIR!I224</f>
        <v>-17.5</v>
      </c>
      <c r="L98" s="204">
        <f>TIR!J224</f>
        <v>-5</v>
      </c>
      <c r="M98" s="204">
        <f>TIR!K224</f>
        <v>-1.1499999999999999</v>
      </c>
      <c r="N98" s="215">
        <f>TIR!L224</f>
        <v>0</v>
      </c>
      <c r="O98" s="215">
        <f>TIR!M224</f>
        <v>0</v>
      </c>
    </row>
    <row r="99" spans="6:15" ht="13.9" customHeight="1" x14ac:dyDescent="0.25">
      <c r="F99" s="202">
        <f>TIR!D225</f>
        <v>46935</v>
      </c>
      <c r="G99" s="203">
        <f>TIR!U225</f>
        <v>0</v>
      </c>
      <c r="H99" s="203">
        <f>TIR!V225</f>
        <v>0</v>
      </c>
      <c r="I99" s="203">
        <f>TIR!W225</f>
        <v>0</v>
      </c>
      <c r="J99" s="204">
        <f>TIR!H225</f>
        <v>0</v>
      </c>
      <c r="K99" s="204">
        <f>TIR!I225</f>
        <v>0</v>
      </c>
      <c r="L99" s="204">
        <f>TIR!J225</f>
        <v>0</v>
      </c>
      <c r="M99" s="204">
        <f>TIR!K225</f>
        <v>0</v>
      </c>
      <c r="N99" s="215">
        <f>TIR!L225</f>
        <v>-7.5</v>
      </c>
      <c r="O99" s="215">
        <f>TIR!M225</f>
        <v>-1.73</v>
      </c>
    </row>
    <row r="100" spans="6:15" ht="13.9" customHeight="1" x14ac:dyDescent="0.25">
      <c r="F100" s="202">
        <f>TIR!D226</f>
        <v>47027</v>
      </c>
      <c r="G100" s="203">
        <f>TIR!U226</f>
        <v>0</v>
      </c>
      <c r="H100" s="203">
        <f>TIR!V226</f>
        <v>0</v>
      </c>
      <c r="I100" s="203">
        <f>TIR!W226</f>
        <v>0</v>
      </c>
      <c r="J100" s="204">
        <f>TIR!H226</f>
        <v>0</v>
      </c>
      <c r="K100" s="204">
        <f>TIR!I226</f>
        <v>0</v>
      </c>
      <c r="L100" s="204">
        <f>TIR!J226</f>
        <v>0</v>
      </c>
      <c r="M100" s="204">
        <f>TIR!K226</f>
        <v>0</v>
      </c>
      <c r="N100" s="215">
        <f>TIR!L226</f>
        <v>-7.5</v>
      </c>
      <c r="O100" s="215">
        <f>TIR!M226</f>
        <v>-1.73</v>
      </c>
    </row>
    <row r="101" spans="6:15" ht="13.9" customHeight="1" x14ac:dyDescent="0.25">
      <c r="F101" s="202">
        <f>TIR!D227</f>
        <v>47042</v>
      </c>
      <c r="G101" s="203">
        <f>TIR!U227</f>
        <v>0</v>
      </c>
      <c r="H101" s="203">
        <f>TIR!V227</f>
        <v>0</v>
      </c>
      <c r="I101" s="203">
        <f>TIR!W227</f>
        <v>0</v>
      </c>
      <c r="J101" s="204">
        <f>TIR!H227</f>
        <v>62.5</v>
      </c>
      <c r="K101" s="204">
        <f>TIR!I227</f>
        <v>-17.5</v>
      </c>
      <c r="L101" s="204">
        <f>TIR!J227</f>
        <v>-5</v>
      </c>
      <c r="M101" s="204">
        <f>TIR!K227</f>
        <v>-1.1499999999999999</v>
      </c>
      <c r="N101" s="215">
        <f>TIR!L227</f>
        <v>0</v>
      </c>
      <c r="O101" s="215">
        <f>TIR!M227</f>
        <v>0</v>
      </c>
    </row>
    <row r="102" spans="6:15" ht="13.9" customHeight="1" x14ac:dyDescent="0.25">
      <c r="F102" s="202">
        <f>TIR!D228</f>
        <v>47119</v>
      </c>
      <c r="G102" s="203">
        <f>TIR!U228</f>
        <v>0</v>
      </c>
      <c r="H102" s="203">
        <f>TIR!V228</f>
        <v>0</v>
      </c>
      <c r="I102" s="203">
        <f>TIR!W228</f>
        <v>0</v>
      </c>
      <c r="J102" s="204">
        <f>TIR!H228</f>
        <v>0</v>
      </c>
      <c r="K102" s="204">
        <f>TIR!I228</f>
        <v>0</v>
      </c>
      <c r="L102" s="204">
        <f>TIR!J228</f>
        <v>0</v>
      </c>
      <c r="M102" s="204">
        <f>TIR!K228</f>
        <v>0</v>
      </c>
      <c r="N102" s="215">
        <f>TIR!L228</f>
        <v>-7.5</v>
      </c>
      <c r="O102" s="215">
        <f>TIR!M228</f>
        <v>-1.73</v>
      </c>
    </row>
    <row r="103" spans="6:15" ht="13.9" customHeight="1" x14ac:dyDescent="0.25">
      <c r="F103" s="202">
        <f>TIR!D229</f>
        <v>47209</v>
      </c>
      <c r="G103" s="203">
        <f>TIR!U229</f>
        <v>0</v>
      </c>
      <c r="H103" s="203">
        <f>TIR!V229</f>
        <v>0</v>
      </c>
      <c r="I103" s="203">
        <f>TIR!W229</f>
        <v>0</v>
      </c>
      <c r="J103" s="204">
        <f>TIR!H229</f>
        <v>0</v>
      </c>
      <c r="K103" s="204">
        <f>TIR!I229</f>
        <v>0</v>
      </c>
      <c r="L103" s="204">
        <f>TIR!J229</f>
        <v>0</v>
      </c>
      <c r="M103" s="204">
        <f>TIR!K229</f>
        <v>0</v>
      </c>
      <c r="N103" s="215">
        <f>TIR!L229</f>
        <v>-7.5</v>
      </c>
      <c r="O103" s="215">
        <f>TIR!M229</f>
        <v>-1.73</v>
      </c>
    </row>
    <row r="104" spans="6:15" ht="13.9" customHeight="1" x14ac:dyDescent="0.25">
      <c r="F104" s="202">
        <f>TIR!D230</f>
        <v>47224</v>
      </c>
      <c r="G104" s="203">
        <f>TIR!U230</f>
        <v>0</v>
      </c>
      <c r="H104" s="203">
        <f>TIR!V230</f>
        <v>0</v>
      </c>
      <c r="I104" s="203">
        <f>TIR!W230</f>
        <v>0</v>
      </c>
      <c r="J104" s="204">
        <f>TIR!H230</f>
        <v>62.5</v>
      </c>
      <c r="K104" s="204">
        <f>TIR!I230</f>
        <v>-17.5</v>
      </c>
      <c r="L104" s="204">
        <f>TIR!J230</f>
        <v>-5</v>
      </c>
      <c r="M104" s="204">
        <f>TIR!K230</f>
        <v>-1.1499999999999999</v>
      </c>
      <c r="N104" s="215">
        <f>TIR!L230</f>
        <v>0</v>
      </c>
      <c r="O104" s="215">
        <f>TIR!M230</f>
        <v>0</v>
      </c>
    </row>
    <row r="105" spans="6:15" ht="13.9" customHeight="1" x14ac:dyDescent="0.25">
      <c r="F105" s="202">
        <f>TIR!D231</f>
        <v>47300</v>
      </c>
      <c r="G105" s="203">
        <f>TIR!U231</f>
        <v>0</v>
      </c>
      <c r="H105" s="203">
        <f>TIR!V231</f>
        <v>0</v>
      </c>
      <c r="I105" s="203">
        <f>TIR!W231</f>
        <v>0</v>
      </c>
      <c r="J105" s="204">
        <f>TIR!H231</f>
        <v>0</v>
      </c>
      <c r="K105" s="204">
        <f>TIR!I231</f>
        <v>0</v>
      </c>
      <c r="L105" s="204">
        <f>TIR!J231</f>
        <v>0</v>
      </c>
      <c r="M105" s="204">
        <f>TIR!K231</f>
        <v>0</v>
      </c>
      <c r="N105" s="215">
        <f>TIR!L231</f>
        <v>-7.5</v>
      </c>
      <c r="O105" s="215">
        <f>TIR!M231</f>
        <v>-1.73</v>
      </c>
    </row>
    <row r="106" spans="6:15" ht="13.9" customHeight="1" x14ac:dyDescent="0.25">
      <c r="F106" s="202">
        <f>TIR!D232</f>
        <v>47392</v>
      </c>
      <c r="G106" s="203">
        <f>TIR!U232</f>
        <v>0</v>
      </c>
      <c r="H106" s="203">
        <f>TIR!V232</f>
        <v>0</v>
      </c>
      <c r="I106" s="203">
        <f>TIR!W232</f>
        <v>0</v>
      </c>
      <c r="J106" s="204">
        <f>TIR!H232</f>
        <v>0</v>
      </c>
      <c r="K106" s="204">
        <f>TIR!I232</f>
        <v>0</v>
      </c>
      <c r="L106" s="204">
        <f>TIR!J232</f>
        <v>0</v>
      </c>
      <c r="M106" s="204">
        <f>TIR!K232</f>
        <v>0</v>
      </c>
      <c r="N106" s="215">
        <f>TIR!L232</f>
        <v>-7.5</v>
      </c>
      <c r="O106" s="215">
        <f>TIR!M232</f>
        <v>-1.73</v>
      </c>
    </row>
    <row r="107" spans="6:15" x14ac:dyDescent="0.25">
      <c r="F107" s="202">
        <f>TIR!D233</f>
        <v>47407</v>
      </c>
      <c r="G107" s="203">
        <f>TIR!U233</f>
        <v>2500</v>
      </c>
      <c r="H107" s="203">
        <f>TIR!V233</f>
        <v>-12.5</v>
      </c>
      <c r="I107" s="203">
        <f>TIR!W233</f>
        <v>-2.88</v>
      </c>
      <c r="J107" s="204">
        <f>TIR!H233</f>
        <v>62.5</v>
      </c>
      <c r="K107" s="204">
        <f>TIR!I233</f>
        <v>-17.5</v>
      </c>
      <c r="L107" s="204">
        <f>TIR!J233</f>
        <v>-5</v>
      </c>
      <c r="M107" s="204">
        <f>TIR!K233</f>
        <v>-1.1499999999999999</v>
      </c>
      <c r="N107" s="215">
        <f>TIR!L233</f>
        <v>0</v>
      </c>
      <c r="O107" s="215">
        <f>TIR!M233</f>
        <v>0</v>
      </c>
    </row>
    <row r="108" spans="6:15" ht="13.9" customHeight="1" x14ac:dyDescent="0.25">
      <c r="F108" s="202" t="str">
        <f>TIR!D234</f>
        <v/>
      </c>
      <c r="G108" s="203" t="str">
        <f>TIR!U234</f>
        <v/>
      </c>
      <c r="H108" s="203" t="str">
        <f>TIR!V234</f>
        <v/>
      </c>
      <c r="I108" s="203" t="str">
        <f>TIR!W234</f>
        <v/>
      </c>
      <c r="J108" s="204" t="str">
        <f>TIR!H234</f>
        <v/>
      </c>
      <c r="K108" s="204" t="str">
        <f>TIR!I234</f>
        <v/>
      </c>
      <c r="L108" s="204" t="str">
        <f>TIR!J234</f>
        <v/>
      </c>
      <c r="M108" s="204" t="str">
        <f>TIR!K234</f>
        <v/>
      </c>
      <c r="N108" s="215" t="str">
        <f>TIR!L234</f>
        <v/>
      </c>
      <c r="O108" s="215" t="str">
        <f>TIR!M234</f>
        <v/>
      </c>
    </row>
    <row r="109" spans="6:15" ht="13.9" customHeight="1" x14ac:dyDescent="0.25">
      <c r="F109" s="202" t="str">
        <f>TIR!D235</f>
        <v/>
      </c>
      <c r="G109" s="203" t="str">
        <f>TIR!U235</f>
        <v/>
      </c>
      <c r="H109" s="203" t="str">
        <f>TIR!V235</f>
        <v/>
      </c>
      <c r="I109" s="203" t="str">
        <f>TIR!W235</f>
        <v/>
      </c>
      <c r="J109" s="204" t="str">
        <f>TIR!H235</f>
        <v/>
      </c>
      <c r="K109" s="204" t="str">
        <f>TIR!I235</f>
        <v/>
      </c>
      <c r="L109" s="204" t="str">
        <f>TIR!J235</f>
        <v/>
      </c>
      <c r="M109" s="204" t="str">
        <f>TIR!K235</f>
        <v/>
      </c>
      <c r="N109" s="215" t="str">
        <f>TIR!L235</f>
        <v/>
      </c>
      <c r="O109" s="215" t="str">
        <f>TIR!M235</f>
        <v/>
      </c>
    </row>
    <row r="110" spans="6:15" ht="13.9" customHeight="1" x14ac:dyDescent="0.25">
      <c r="F110" s="202" t="str">
        <f>TIR!D236</f>
        <v/>
      </c>
      <c r="G110" s="203" t="str">
        <f>TIR!U236</f>
        <v/>
      </c>
      <c r="H110" s="203" t="str">
        <f>TIR!V236</f>
        <v/>
      </c>
      <c r="I110" s="203" t="str">
        <f>TIR!W236</f>
        <v/>
      </c>
      <c r="J110" s="204" t="str">
        <f>TIR!H236</f>
        <v/>
      </c>
      <c r="K110" s="204" t="str">
        <f>TIR!I236</f>
        <v/>
      </c>
      <c r="L110" s="204" t="str">
        <f>TIR!J236</f>
        <v/>
      </c>
      <c r="M110" s="204" t="str">
        <f>TIR!K236</f>
        <v/>
      </c>
      <c r="N110" s="215" t="str">
        <f>TIR!L236</f>
        <v/>
      </c>
      <c r="O110" s="215" t="str">
        <f>TIR!M236</f>
        <v/>
      </c>
    </row>
    <row r="111" spans="6:15" ht="13.9" customHeight="1" x14ac:dyDescent="0.25">
      <c r="F111" s="202" t="str">
        <f>TIR!D237</f>
        <v/>
      </c>
      <c r="G111" s="203" t="str">
        <f>TIR!U237</f>
        <v/>
      </c>
      <c r="H111" s="203" t="str">
        <f>TIR!V237</f>
        <v/>
      </c>
      <c r="I111" s="203" t="str">
        <f>TIR!W237</f>
        <v/>
      </c>
      <c r="J111" s="204" t="str">
        <f>TIR!H237</f>
        <v/>
      </c>
      <c r="K111" s="204" t="str">
        <f>TIR!I237</f>
        <v/>
      </c>
      <c r="L111" s="204" t="str">
        <f>TIR!J237</f>
        <v/>
      </c>
      <c r="M111" s="204" t="str">
        <f>TIR!K237</f>
        <v/>
      </c>
      <c r="N111" s="215" t="str">
        <f>TIR!L237</f>
        <v/>
      </c>
      <c r="O111" s="215" t="str">
        <f>TIR!M237</f>
        <v/>
      </c>
    </row>
    <row r="112" spans="6:15" ht="13.9" customHeight="1" x14ac:dyDescent="0.25">
      <c r="F112" s="202" t="str">
        <f>TIR!D238</f>
        <v/>
      </c>
      <c r="G112" s="203" t="str">
        <f>TIR!U238</f>
        <v/>
      </c>
      <c r="H112" s="203" t="str">
        <f>TIR!V238</f>
        <v/>
      </c>
      <c r="I112" s="203" t="str">
        <f>TIR!W238</f>
        <v/>
      </c>
      <c r="J112" s="204" t="str">
        <f>TIR!H238</f>
        <v/>
      </c>
      <c r="K112" s="204" t="str">
        <f>TIR!I238</f>
        <v/>
      </c>
      <c r="L112" s="204" t="str">
        <f>TIR!J238</f>
        <v/>
      </c>
      <c r="M112" s="204" t="str">
        <f>TIR!K238</f>
        <v/>
      </c>
      <c r="N112" s="215" t="str">
        <f>TIR!L238</f>
        <v/>
      </c>
      <c r="O112" s="215" t="str">
        <f>TIR!M238</f>
        <v/>
      </c>
    </row>
    <row r="113" spans="6:15" ht="13.9" customHeight="1" x14ac:dyDescent="0.25">
      <c r="F113" s="202" t="str">
        <f>TIR!D239</f>
        <v/>
      </c>
      <c r="G113" s="203" t="str">
        <f>TIR!U239</f>
        <v/>
      </c>
      <c r="H113" s="203" t="str">
        <f>TIR!V239</f>
        <v/>
      </c>
      <c r="I113" s="203" t="str">
        <f>TIR!W239</f>
        <v/>
      </c>
      <c r="J113" s="204" t="str">
        <f>TIR!H239</f>
        <v/>
      </c>
      <c r="K113" s="204" t="str">
        <f>TIR!I239</f>
        <v/>
      </c>
      <c r="L113" s="204" t="str">
        <f>TIR!J239</f>
        <v/>
      </c>
      <c r="M113" s="204" t="str">
        <f>TIR!K239</f>
        <v/>
      </c>
      <c r="N113" s="215" t="str">
        <f>TIR!L239</f>
        <v/>
      </c>
      <c r="O113" s="215" t="str">
        <f>TIR!M239</f>
        <v/>
      </c>
    </row>
    <row r="114" spans="6:15" ht="13.9" customHeight="1" x14ac:dyDescent="0.25">
      <c r="F114" s="202" t="str">
        <f>TIR!D240</f>
        <v/>
      </c>
      <c r="G114" s="203" t="str">
        <f>TIR!U240</f>
        <v/>
      </c>
      <c r="H114" s="203" t="str">
        <f>TIR!V240</f>
        <v/>
      </c>
      <c r="I114" s="203" t="str">
        <f>TIR!W240</f>
        <v/>
      </c>
      <c r="J114" s="204" t="str">
        <f>TIR!H240</f>
        <v/>
      </c>
      <c r="K114" s="204" t="str">
        <f>TIR!I240</f>
        <v/>
      </c>
      <c r="L114" s="204" t="str">
        <f>TIR!J240</f>
        <v/>
      </c>
      <c r="M114" s="204" t="str">
        <f>TIR!K240</f>
        <v/>
      </c>
      <c r="N114" s="215" t="str">
        <f>TIR!L240</f>
        <v/>
      </c>
      <c r="O114" s="215" t="str">
        <f>TIR!M240</f>
        <v/>
      </c>
    </row>
    <row r="115" spans="6:15" ht="13.9" customHeight="1" x14ac:dyDescent="0.25">
      <c r="F115" s="202" t="str">
        <f>TIR!D241</f>
        <v/>
      </c>
      <c r="G115" s="203" t="str">
        <f>TIR!U241</f>
        <v/>
      </c>
      <c r="H115" s="203" t="str">
        <f>TIR!V241</f>
        <v/>
      </c>
      <c r="I115" s="203" t="str">
        <f>TIR!W241</f>
        <v/>
      </c>
      <c r="J115" s="204" t="str">
        <f>TIR!H241</f>
        <v/>
      </c>
      <c r="K115" s="204" t="str">
        <f>TIR!I241</f>
        <v/>
      </c>
      <c r="L115" s="204" t="str">
        <f>TIR!J241</f>
        <v/>
      </c>
      <c r="M115" s="204" t="str">
        <f>TIR!K241</f>
        <v/>
      </c>
      <c r="N115" s="215" t="str">
        <f>TIR!L241</f>
        <v/>
      </c>
      <c r="O115" s="215" t="str">
        <f>TIR!M241</f>
        <v/>
      </c>
    </row>
    <row r="116" spans="6:15" ht="13.9" customHeight="1" x14ac:dyDescent="0.25">
      <c r="F116" s="202" t="str">
        <f>TIR!D242</f>
        <v/>
      </c>
      <c r="G116" s="203" t="str">
        <f>TIR!U242</f>
        <v/>
      </c>
      <c r="H116" s="203" t="str">
        <f>TIR!V242</f>
        <v/>
      </c>
      <c r="I116" s="203" t="str">
        <f>TIR!W242</f>
        <v/>
      </c>
      <c r="J116" s="204" t="str">
        <f>TIR!H242</f>
        <v/>
      </c>
      <c r="K116" s="204" t="str">
        <f>TIR!I242</f>
        <v/>
      </c>
      <c r="L116" s="204" t="str">
        <f>TIR!J242</f>
        <v/>
      </c>
      <c r="M116" s="204" t="str">
        <f>TIR!K242</f>
        <v/>
      </c>
      <c r="N116" s="215" t="str">
        <f>TIR!L242</f>
        <v/>
      </c>
      <c r="O116" s="215" t="str">
        <f>TIR!M242</f>
        <v/>
      </c>
    </row>
    <row r="117" spans="6:15" ht="13.9" customHeight="1" x14ac:dyDescent="0.25">
      <c r="F117" s="202" t="str">
        <f>TIR!D243</f>
        <v/>
      </c>
      <c r="G117" s="203" t="str">
        <f>TIR!U243</f>
        <v/>
      </c>
      <c r="H117" s="203" t="str">
        <f>TIR!V243</f>
        <v/>
      </c>
      <c r="I117" s="203" t="str">
        <f>TIR!W243</f>
        <v/>
      </c>
      <c r="J117" s="204" t="str">
        <f>TIR!H243</f>
        <v/>
      </c>
      <c r="K117" s="204" t="str">
        <f>TIR!I243</f>
        <v/>
      </c>
      <c r="L117" s="204" t="str">
        <f>TIR!J243</f>
        <v/>
      </c>
      <c r="M117" s="204" t="str">
        <f>TIR!K243</f>
        <v/>
      </c>
      <c r="N117" s="215" t="str">
        <f>TIR!L243</f>
        <v/>
      </c>
      <c r="O117" s="215" t="str">
        <f>TIR!M243</f>
        <v/>
      </c>
    </row>
    <row r="118" spans="6:15" ht="13.9" customHeight="1" x14ac:dyDescent="0.25">
      <c r="F118" s="202" t="str">
        <f>TIR!D244</f>
        <v/>
      </c>
      <c r="G118" s="203" t="str">
        <f>TIR!U244</f>
        <v/>
      </c>
      <c r="H118" s="203" t="str">
        <f>TIR!V244</f>
        <v/>
      </c>
      <c r="I118" s="203" t="str">
        <f>TIR!W244</f>
        <v/>
      </c>
      <c r="J118" s="204" t="str">
        <f>TIR!H244</f>
        <v/>
      </c>
      <c r="K118" s="204" t="str">
        <f>TIR!I244</f>
        <v/>
      </c>
      <c r="L118" s="204" t="str">
        <f>TIR!J244</f>
        <v/>
      </c>
      <c r="M118" s="204" t="str">
        <f>TIR!K244</f>
        <v/>
      </c>
      <c r="N118" s="215" t="str">
        <f>TIR!L244</f>
        <v/>
      </c>
      <c r="O118" s="215" t="str">
        <f>TIR!M244</f>
        <v/>
      </c>
    </row>
    <row r="119" spans="6:15" ht="13.9" customHeight="1" x14ac:dyDescent="0.25">
      <c r="F119" s="202" t="str">
        <f>TIR!D245</f>
        <v/>
      </c>
      <c r="G119" s="203" t="str">
        <f>TIR!U245</f>
        <v/>
      </c>
      <c r="H119" s="203" t="str">
        <f>TIR!V245</f>
        <v/>
      </c>
      <c r="I119" s="203" t="str">
        <f>TIR!W245</f>
        <v/>
      </c>
      <c r="J119" s="204" t="str">
        <f>TIR!H245</f>
        <v/>
      </c>
      <c r="K119" s="204" t="str">
        <f>TIR!I245</f>
        <v/>
      </c>
      <c r="L119" s="204" t="str">
        <f>TIR!J245</f>
        <v/>
      </c>
      <c r="M119" s="204" t="str">
        <f>TIR!K245</f>
        <v/>
      </c>
      <c r="N119" s="215" t="str">
        <f>TIR!L245</f>
        <v/>
      </c>
      <c r="O119" s="215" t="str">
        <f>TIR!M245</f>
        <v/>
      </c>
    </row>
    <row r="120" spans="6:15" ht="13.9" customHeight="1" x14ac:dyDescent="0.25">
      <c r="F120" s="202" t="str">
        <f>TIR!D246</f>
        <v/>
      </c>
      <c r="G120" s="203" t="str">
        <f>TIR!U246</f>
        <v/>
      </c>
      <c r="H120" s="203" t="str">
        <f>TIR!V246</f>
        <v/>
      </c>
      <c r="I120" s="203" t="str">
        <f>TIR!W246</f>
        <v/>
      </c>
      <c r="J120" s="204" t="str">
        <f>TIR!H246</f>
        <v/>
      </c>
      <c r="K120" s="204" t="str">
        <f>TIR!I246</f>
        <v/>
      </c>
      <c r="L120" s="204" t="str">
        <f>TIR!J246</f>
        <v/>
      </c>
      <c r="M120" s="204" t="str">
        <f>TIR!K246</f>
        <v/>
      </c>
      <c r="N120" s="215" t="str">
        <f>TIR!L246</f>
        <v/>
      </c>
      <c r="O120" s="215" t="str">
        <f>TIR!M246</f>
        <v/>
      </c>
    </row>
    <row r="121" spans="6:15" ht="13.9" customHeight="1" x14ac:dyDescent="0.25">
      <c r="F121" s="207" t="s">
        <v>251</v>
      </c>
      <c r="G121" s="208">
        <f t="shared" ref="G121:O121" si="0">SUM(G77:G120)</f>
        <v>0</v>
      </c>
      <c r="H121" s="208">
        <f t="shared" si="0"/>
        <v>-25</v>
      </c>
      <c r="I121" s="208">
        <f t="shared" si="0"/>
        <v>-3.38</v>
      </c>
      <c r="J121" s="209">
        <f t="shared" si="0"/>
        <v>625</v>
      </c>
      <c r="K121" s="209">
        <f t="shared" si="0"/>
        <v>-175</v>
      </c>
      <c r="L121" s="209">
        <f t="shared" si="0"/>
        <v>-50</v>
      </c>
      <c r="M121" s="209">
        <f t="shared" si="0"/>
        <v>-11.500000000000002</v>
      </c>
      <c r="N121" s="210">
        <f t="shared" si="0"/>
        <v>-150</v>
      </c>
      <c r="O121" s="210">
        <f t="shared" si="0"/>
        <v>-34.6</v>
      </c>
    </row>
    <row r="122" spans="6:15" ht="13.9" customHeight="1" x14ac:dyDescent="0.25">
      <c r="K122" s="62"/>
      <c r="L122" s="62"/>
      <c r="M122" s="62"/>
      <c r="N122" s="62"/>
      <c r="O122" s="62"/>
    </row>
    <row r="123" spans="6:15" ht="13.9" customHeight="1" x14ac:dyDescent="0.25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35">
      <c r="F124" s="360" t="str">
        <f>K25</f>
        <v>Juro Bruto até à maturidade:</v>
      </c>
      <c r="G124" s="360"/>
      <c r="H124" s="360"/>
      <c r="I124" s="206">
        <f>M25</f>
        <v>625</v>
      </c>
      <c r="K124" s="360" t="str">
        <f>K33</f>
        <v>Rendimento Liq. até maturidade:</v>
      </c>
      <c r="L124" s="360"/>
      <c r="M124" s="360"/>
      <c r="N124" s="206">
        <f>SUM(G121:O121)</f>
        <v>175.52</v>
      </c>
      <c r="O124" s="205" t="str">
        <f>IF(N124=M33,"OK","Atenção")</f>
        <v>OK</v>
      </c>
    </row>
    <row r="125" spans="6:15" ht="13.9" customHeight="1" x14ac:dyDescent="0.25">
      <c r="F125" s="64"/>
      <c r="G125" s="64"/>
      <c r="H125" s="64"/>
      <c r="I125" s="64"/>
    </row>
    <row r="126" spans="6:15" ht="13.9" customHeight="1" x14ac:dyDescent="0.25">
      <c r="F126" s="64"/>
      <c r="G126" s="64"/>
      <c r="H126" s="64"/>
      <c r="I126" s="64"/>
    </row>
    <row r="127" spans="6:15" ht="13.9" customHeight="1" x14ac:dyDescent="0.25">
      <c r="F127" s="64"/>
      <c r="G127" s="64"/>
      <c r="H127" s="64"/>
      <c r="I127" s="64"/>
    </row>
    <row r="128" spans="6:15" ht="13.9" customHeight="1" x14ac:dyDescent="0.25">
      <c r="F128" s="64"/>
      <c r="G128" s="64"/>
      <c r="H128" s="64"/>
      <c r="I128" s="64"/>
    </row>
    <row r="129" spans="5:25" x14ac:dyDescent="0.25">
      <c r="F129" s="1"/>
      <c r="G129" s="1"/>
      <c r="H129" s="1"/>
      <c r="I129" s="1"/>
    </row>
    <row r="130" spans="5:25" ht="7.5" customHeight="1" x14ac:dyDescent="0.25">
      <c r="F130" s="64"/>
      <c r="G130" s="64"/>
      <c r="H130" s="64"/>
      <c r="I130" s="64"/>
    </row>
    <row r="131" spans="5:25" s="61" customFormat="1" ht="15.75" x14ac:dyDescent="0.25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25">
      <c r="F132" s="1"/>
      <c r="G132" s="64"/>
      <c r="H132" s="1"/>
      <c r="I132" s="1"/>
    </row>
    <row r="133" spans="5:25" x14ac:dyDescent="0.25">
      <c r="F133" s="1"/>
      <c r="G133" s="64"/>
      <c r="H133" s="1"/>
      <c r="I133" s="1"/>
    </row>
    <row r="134" spans="5:25" x14ac:dyDescent="0.25">
      <c r="F134" s="1"/>
      <c r="G134" s="64"/>
      <c r="H134" s="1"/>
      <c r="I134" s="1"/>
    </row>
    <row r="135" spans="5:25" ht="15" customHeight="1" x14ac:dyDescent="0.25">
      <c r="F135" s="1"/>
      <c r="G135" s="64"/>
      <c r="H135" s="1"/>
      <c r="I135" s="1"/>
    </row>
    <row r="144" spans="5:25" ht="20.25" customHeight="1" x14ac:dyDescent="0.25"/>
    <row r="198" spans="6:14" ht="28.9" customHeight="1" x14ac:dyDescent="0.25">
      <c r="F198" s="387"/>
      <c r="G198" s="387"/>
      <c r="H198" s="387"/>
      <c r="I198" s="387"/>
      <c r="J198" s="387"/>
      <c r="K198" s="387"/>
      <c r="L198" s="387"/>
      <c r="M198" s="387"/>
      <c r="N198" s="387"/>
    </row>
    <row r="199" spans="6:14" ht="43.15" customHeight="1" x14ac:dyDescent="0.25">
      <c r="F199" s="387"/>
      <c r="G199" s="387"/>
      <c r="H199" s="387"/>
      <c r="I199" s="387"/>
      <c r="J199" s="387"/>
      <c r="K199" s="387"/>
      <c r="L199" s="387"/>
      <c r="M199" s="387"/>
      <c r="N199" s="387"/>
    </row>
    <row r="200" spans="6:14" x14ac:dyDescent="0.25">
      <c r="F200" s="388"/>
      <c r="G200" s="388"/>
      <c r="H200" s="388"/>
      <c r="I200" s="388"/>
      <c r="J200" s="388"/>
      <c r="K200" s="388"/>
      <c r="L200" s="388"/>
      <c r="M200" s="388"/>
      <c r="N200" s="388"/>
    </row>
  </sheetData>
  <sheetProtection algorithmName="SHA-512" hashValue="snpsh1gnmiLfKIaj4/ViOjoel42bzIoJGVeuYTMk3OGupJ3xP+tcjvQOTWihzItt9RYLbGkU81xpxcSBQLcLqw==" saltValue="eaNM9Bqb11TMj4xzFPAlEA==" spinCount="100000" sheet="1"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5" priority="2" operator="containsText" text="A PREENCHER Nome, Conta e NIF">
      <formula>NOT(ISERROR(SEARCH("A PREENCHER Nome, Conta e NIF",G11)))</formula>
    </cfRule>
  </conditionalFormatting>
  <conditionalFormatting sqref="H25 H27">
    <cfRule type="cellIs" dxfId="4" priority="3" stopIfTrue="1" operator="equal">
      <formula>"A PREENCHER"</formula>
    </cfRule>
  </conditionalFormatting>
  <conditionalFormatting sqref="O124">
    <cfRule type="cellIs" dxfId="3" priority="1" operator="equal">
      <formula>"OK"</formula>
    </cfRule>
  </conditionalFormatting>
  <dataValidations count="3">
    <dataValidation type="custom" allowBlank="1" showInputMessage="1" showErrorMessage="1" error="Montante mínimo: 2.500€_x000a_Montante máximo: 50.000.000€_x000a_A partir do montante mínimo as ordens de subscrição devem ser expressas em múltiplos de 250€" prompt="Montante mínimo: 2.500€_x000a_Montante máximo: 50.000.000€_x000a_A partir do montante mínimo as ordens de subscrição devem ser expressas em múltiplos de 250€" sqref="H17:I17" xr:uid="{57A6D9D6-421F-41AE-92D7-7B74EC993950}">
      <formula1>AND(H17&gt;=2500,H17&lt;=50000000,H17/250=INT(H17/250))=TRUE</formula1>
    </dataValidation>
    <dataValidation type="list" allowBlank="1" showInputMessage="1" showErrorMessage="1" sqref="H27:I27" xr:uid="{F8A61DD8-4188-491E-8ACB-EB5540D3D1B1}">
      <formula1>$XFB$1:$XFB$3</formula1>
    </dataValidation>
    <dataValidation type="list" allowBlank="1" showInputMessage="1" showErrorMessage="1" sqref="H25:I25" xr:uid="{612D7F63-77B9-4E5C-8938-A060F5980DA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7" fitToHeight="0" orientation="portrait" r:id="rId1"/>
  <rowBreaks count="2" manualBreakCount="2">
    <brk id="69" max="16383" man="1"/>
    <brk id="12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4B69-E4A6-4B06-A2F1-FD0CBCF1AC43}">
  <sheetPr>
    <pageSetUpPr fitToPage="1"/>
  </sheetPr>
  <dimension ref="A1:XFD301"/>
  <sheetViews>
    <sheetView showGridLines="0" zoomScale="90" zoomScaleNormal="90" workbookViewId="0">
      <selection activeCell="G11" sqref="G11:I11"/>
    </sheetView>
  </sheetViews>
  <sheetFormatPr defaultColWidth="9.140625" defaultRowHeight="15" x14ac:dyDescent="0.25"/>
  <cols>
    <col min="1" max="1" width="9.140625" style="1" customWidth="1"/>
    <col min="2" max="2" width="6.140625" style="1" customWidth="1"/>
    <col min="3" max="3" width="9.140625" style="1" customWidth="1"/>
    <col min="4" max="4" width="9.140625" style="1" hidden="1" customWidth="1"/>
    <col min="5" max="5" width="3.7109375" style="62" hidden="1" customWidth="1"/>
    <col min="6" max="6" width="19.7109375" style="62" customWidth="1"/>
    <col min="7" max="7" width="19.85546875" style="62" customWidth="1"/>
    <col min="8" max="8" width="12.140625" style="62" bestFit="1" customWidth="1"/>
    <col min="9" max="9" width="20.5703125" style="62" bestFit="1" customWidth="1"/>
    <col min="10" max="10" width="14.28515625" style="62" bestFit="1" customWidth="1"/>
    <col min="11" max="11" width="18.28515625" style="1" customWidth="1"/>
    <col min="12" max="12" width="20.42578125" style="1" customWidth="1"/>
    <col min="13" max="13" width="11.5703125" style="1" bestFit="1" customWidth="1"/>
    <col min="14" max="14" width="22.42578125" style="1" customWidth="1"/>
    <col min="15" max="17" width="9.140625" style="1"/>
    <col min="18" max="18" width="9.42578125" style="1" bestFit="1" customWidth="1"/>
    <col min="19" max="26" width="9.140625" style="1"/>
    <col min="27" max="27" width="51" style="1" bestFit="1" customWidth="1"/>
    <col min="28" max="28" width="16.28515625" style="1" bestFit="1" customWidth="1"/>
    <col min="29" max="29" width="16.5703125" style="1" bestFit="1" customWidth="1"/>
    <col min="30" max="30" width="16.7109375" style="1" bestFit="1" customWidth="1"/>
    <col min="31" max="31" width="14.42578125" style="1" bestFit="1" customWidth="1"/>
    <col min="32" max="34" width="9.140625" style="1"/>
    <col min="35" max="35" width="56.140625" style="1" customWidth="1"/>
    <col min="36" max="36" width="13.7109375" style="1" bestFit="1" customWidth="1"/>
    <col min="37" max="37" width="11.28515625" style="1" bestFit="1" customWidth="1"/>
    <col min="38" max="38" width="11" style="1" customWidth="1"/>
    <col min="39" max="16384" width="9.140625" style="1"/>
  </cols>
  <sheetData>
    <row r="1" spans="1:14 16373:16384" ht="21.6" customHeight="1" x14ac:dyDescent="0.25">
      <c r="A1" s="1" t="str">
        <f>IF(TIR!B4="FOLHA (Troca)","","ATENÇÃO")</f>
        <v>ATENÇÃO</v>
      </c>
      <c r="K1" s="411" t="s">
        <v>108</v>
      </c>
      <c r="L1" s="412"/>
      <c r="M1" s="412"/>
      <c r="N1" s="413"/>
      <c r="XFB1" s="2" t="s">
        <v>55</v>
      </c>
      <c r="XFC1" s="2"/>
      <c r="XFD1" s="2" t="s">
        <v>55</v>
      </c>
    </row>
    <row r="2" spans="1:14 16373:16384" ht="21" customHeight="1" x14ac:dyDescent="0.25">
      <c r="K2" s="414" t="s">
        <v>223</v>
      </c>
      <c r="L2" s="415"/>
      <c r="M2" s="415"/>
      <c r="N2" s="416"/>
      <c r="XFB2" s="2" t="s">
        <v>92</v>
      </c>
      <c r="XFC2" s="2"/>
      <c r="XFD2" s="2" t="s">
        <v>49</v>
      </c>
    </row>
    <row r="3" spans="1:14 16373:16384" ht="21" customHeight="1" x14ac:dyDescent="0.25">
      <c r="K3" s="414" t="s">
        <v>309</v>
      </c>
      <c r="L3" s="415"/>
      <c r="M3" s="415"/>
      <c r="N3" s="416"/>
      <c r="XFB3" s="2" t="s">
        <v>93</v>
      </c>
      <c r="XFC3" s="2"/>
      <c r="XFD3" s="2" t="s">
        <v>53</v>
      </c>
    </row>
    <row r="4" spans="1:14 16373:16384" ht="21" customHeight="1" x14ac:dyDescent="0.25">
      <c r="K4" s="417" t="s">
        <v>212</v>
      </c>
      <c r="L4" s="418"/>
      <c r="M4" s="418"/>
      <c r="N4" s="419"/>
    </row>
    <row r="5" spans="1:14 16373:16384" ht="21" customHeight="1" x14ac:dyDescent="0.25">
      <c r="K5" s="102"/>
      <c r="L5" s="102"/>
      <c r="M5" s="102"/>
      <c r="N5" s="102"/>
    </row>
    <row r="6" spans="1:14 16373:16384" x14ac:dyDescent="0.25">
      <c r="F6" s="420" t="s">
        <v>79</v>
      </c>
      <c r="G6" s="420"/>
      <c r="H6" s="420"/>
      <c r="I6" s="420"/>
      <c r="J6" s="420"/>
      <c r="K6" s="420"/>
      <c r="L6" s="420"/>
      <c r="M6" s="420"/>
      <c r="N6" s="420"/>
    </row>
    <row r="7" spans="1:14 16373:16384" ht="15.75" x14ac:dyDescent="0.25">
      <c r="F7" s="421" t="s">
        <v>95</v>
      </c>
      <c r="G7" s="421"/>
      <c r="H7" s="421"/>
      <c r="I7" s="421"/>
      <c r="K7" s="406" t="s">
        <v>59</v>
      </c>
      <c r="L7" s="406"/>
      <c r="M7" s="406"/>
      <c r="N7" s="406"/>
    </row>
    <row r="8" spans="1:14 16373:16384" ht="7.5" customHeight="1" thickBot="1" x14ac:dyDescent="0.3">
      <c r="F8" s="1"/>
      <c r="G8" s="1"/>
      <c r="H8" s="1"/>
      <c r="I8" s="1"/>
    </row>
    <row r="9" spans="1:14 16373:16384" ht="25.5" customHeight="1" thickTop="1" thickBot="1" x14ac:dyDescent="0.3">
      <c r="F9" s="396" t="s">
        <v>347</v>
      </c>
      <c r="G9" s="397"/>
      <c r="H9" s="397"/>
      <c r="I9" s="398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25">
      <c r="K10" s="67"/>
      <c r="L10" s="67"/>
      <c r="M10" s="67"/>
      <c r="N10" s="67"/>
    </row>
    <row r="11" spans="1:14 16373:16384" ht="25.5" customHeight="1" x14ac:dyDescent="0.25">
      <c r="F11" s="76" t="s">
        <v>56</v>
      </c>
      <c r="G11" s="389" t="s">
        <v>407</v>
      </c>
      <c r="H11" s="389"/>
      <c r="I11" s="389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25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25">
      <c r="F13" s="76" t="s">
        <v>87</v>
      </c>
      <c r="G13" s="264">
        <f>IF(G11="","",VLOOKUP(G11,$AA$200:$AF$299,2,FALSE))</f>
        <v>40053550498</v>
      </c>
      <c r="H13" s="63" t="s">
        <v>57</v>
      </c>
      <c r="I13" s="265">
        <f>IF(G11="","",VLOOKUP(G11,$AA$200:$AF$299,3,FALSE))</f>
        <v>166702463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">
      <c r="F15" s="396" t="str">
        <f>TIR!B7</f>
        <v>Obrigações Mota-Engil 2029</v>
      </c>
      <c r="G15" s="397"/>
      <c r="H15" s="397"/>
      <c r="I15" s="398"/>
      <c r="K15" s="105" t="s">
        <v>77</v>
      </c>
      <c r="L15" s="72" t="str">
        <f>IF(G11="","",IF(G13="","",IF(I13="","",IF(H25="A PREENCHER","",IF(H27="A PREENCHER","",IF(H27="FALSO","-",TIR!L247))))))</f>
        <v>-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PREENCHER","",IF(H27="FALSO","-",TIR!M247))))))</f>
        <v>-</v>
      </c>
    </row>
    <row r="16" spans="1:14 16373:16384" ht="7.5" customHeight="1" thickTop="1" x14ac:dyDescent="0.25">
      <c r="K16" s="95"/>
      <c r="L16" s="67"/>
      <c r="M16" s="67"/>
      <c r="N16" s="71"/>
    </row>
    <row r="17" spans="6:14" ht="30" customHeight="1" x14ac:dyDescent="0.25">
      <c r="F17" s="401" t="s">
        <v>54</v>
      </c>
      <c r="G17" s="402"/>
      <c r="H17" s="563">
        <f>IF(G11="","",VLOOKUP(G11,$AA$200:$AF$299,5,FALSE))</f>
        <v>1000</v>
      </c>
      <c r="I17" s="564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25">
      <c r="F18" s="97"/>
      <c r="G18" s="97"/>
      <c r="K18" s="94"/>
      <c r="L18" s="67"/>
      <c r="M18" s="67"/>
      <c r="N18" s="71"/>
    </row>
    <row r="19" spans="6:14" x14ac:dyDescent="0.25">
      <c r="F19" s="395" t="s">
        <v>58</v>
      </c>
      <c r="G19" s="395"/>
      <c r="H19" s="393">
        <f>IF(H17="MONTANTE","QUANTIDADE",IF(G13="","",IF(I13="","",IF(H25="A PREENCHER","",IF(H27="A PREENCHER","",TIR!B36)))))</f>
        <v>10</v>
      </c>
      <c r="I19" s="394"/>
      <c r="K19" s="106" t="s">
        <v>85</v>
      </c>
      <c r="L19" s="232">
        <f>IF(G11="","",IF(G13="","",IF(I13="","",IF(H25="A PREENCHER","",IF(H27="A PREENCHER","",SUM(L11:L17))))))</f>
        <v>-75</v>
      </c>
      <c r="M19" s="233">
        <f>IF(G11="","",IF(G13="","",IF(I13="","",IF(H25="A PREENCHER","",IF(H27="A PREENCHER","",SUM(M11:M17))))))</f>
        <v>-0.5</v>
      </c>
      <c r="N19" s="234">
        <f>IF(G11="","",IF(G13="","",IF(I13="","",IF(H25="A PREENCHER","",IF(H27="A PREENCHER","",SUM(N11:N17))))))</f>
        <v>-14.380000000000003</v>
      </c>
    </row>
    <row r="20" spans="6:14" ht="7.5" customHeight="1" x14ac:dyDescent="0.25">
      <c r="F20" s="97"/>
      <c r="G20" s="97"/>
      <c r="K20" s="103"/>
      <c r="L20" s="103"/>
      <c r="M20" s="103"/>
      <c r="N20" s="103"/>
    </row>
    <row r="21" spans="6:14" ht="18" customHeight="1" x14ac:dyDescent="0.25">
      <c r="F21" s="395" t="s">
        <v>81</v>
      </c>
      <c r="G21" s="395"/>
      <c r="H21" s="444">
        <f>IF(G11="","",IF(G13="","",IF(I13="","",IF(H25="A PREENCHER","",IF(H27="A PREENCHER","",TIR!B8)))))</f>
        <v>0.05</v>
      </c>
      <c r="I21" s="445"/>
      <c r="K21" s="406" t="s">
        <v>89</v>
      </c>
      <c r="L21" s="406"/>
      <c r="M21" s="406"/>
      <c r="N21" s="406"/>
    </row>
    <row r="22" spans="6:14" ht="7.5" customHeight="1" x14ac:dyDescent="0.25">
      <c r="F22" s="97"/>
      <c r="G22" s="97"/>
    </row>
    <row r="23" spans="6:14" ht="15" customHeight="1" x14ac:dyDescent="0.25">
      <c r="F23" s="395" t="s">
        <v>2</v>
      </c>
      <c r="G23" s="395"/>
      <c r="H23" s="393" t="str">
        <f>IF(G11="","",IF(G13="","",IF(I13="","",IF(H25="A PREENCHER","",IF(H27="A PREENCHER","",'Mota Engil 2024-2029'!E20)))))</f>
        <v>5 anos</v>
      </c>
      <c r="I23" s="394"/>
      <c r="K23" s="407" t="s">
        <v>83</v>
      </c>
      <c r="L23" s="408"/>
      <c r="M23" s="454">
        <f>IF(G11="","",IF(G13="","",IF(I13="","",IF(H25="A PREENCHER","",IF(H27="A PREENCHER","",H17)))))</f>
        <v>1000</v>
      </c>
      <c r="N23" s="455"/>
    </row>
    <row r="24" spans="6:14" ht="7.5" customHeight="1" x14ac:dyDescent="0.25">
      <c r="F24" s="97"/>
      <c r="G24" s="97"/>
      <c r="K24" s="94"/>
      <c r="L24" s="96"/>
      <c r="M24" s="67"/>
      <c r="N24" s="71"/>
    </row>
    <row r="25" spans="6:14" ht="22.5" customHeight="1" x14ac:dyDescent="0.25">
      <c r="F25" s="450" t="s">
        <v>47</v>
      </c>
      <c r="G25" s="451"/>
      <c r="H25" s="565" t="str">
        <f>IF(G11="","",VLOOKUP(G11,$AA$200:$AG$299,7,FALSE))</f>
        <v>IRS</v>
      </c>
      <c r="I25" s="566"/>
      <c r="K25" s="409" t="s">
        <v>84</v>
      </c>
      <c r="L25" s="410"/>
      <c r="M25" s="442">
        <f>IF(G11="","",IF(G13="","",IF(I13="","",IF(H25="A PREENCHER","",IF(H27="A PREENCHER","",TIR!H247)))))</f>
        <v>625</v>
      </c>
      <c r="N25" s="443"/>
    </row>
    <row r="26" spans="6:14" ht="7.5" customHeight="1" x14ac:dyDescent="0.25">
      <c r="F26" s="97"/>
      <c r="G26" s="97"/>
      <c r="K26" s="95"/>
      <c r="L26" s="67"/>
      <c r="M26" s="67"/>
      <c r="N26" s="71"/>
    </row>
    <row r="27" spans="6:14" ht="37.15" customHeight="1" x14ac:dyDescent="0.25">
      <c r="F27" s="452" t="s">
        <v>91</v>
      </c>
      <c r="G27" s="453"/>
      <c r="H27" s="565" t="s">
        <v>93</v>
      </c>
      <c r="I27" s="566"/>
      <c r="K27" s="409" t="str">
        <f>IF(H27="A PREENCHER","",H25&amp;" sobre os Juros ("&amp;TIR!C37&amp;")")</f>
        <v>IRS sobre os Juros (0,28)</v>
      </c>
      <c r="L27" s="410"/>
      <c r="M27" s="442">
        <f>IF(G11="","",IF(G13="","",IF(I13="","",IF(H25="A PREENCHER","",IF(H27="A PREENCHER","",TIR!I247)))))</f>
        <v>-175</v>
      </c>
      <c r="N27" s="443"/>
    </row>
    <row r="28" spans="6:14" ht="7.5" customHeight="1" x14ac:dyDescent="0.25">
      <c r="F28" s="446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446"/>
      <c r="H28" s="446"/>
      <c r="I28" s="446"/>
      <c r="K28" s="95"/>
      <c r="L28" s="67"/>
      <c r="M28" s="67"/>
      <c r="N28" s="71"/>
    </row>
    <row r="29" spans="6:14" ht="22.5" customHeight="1" x14ac:dyDescent="0.25">
      <c r="F29" s="447"/>
      <c r="G29" s="447"/>
      <c r="H29" s="447"/>
      <c r="I29" s="447"/>
      <c r="K29" s="456" t="str">
        <f>"Total de Impostos ("&amp;H25&amp;"; "&amp;M9&amp;"; "&amp;N9&amp;")"</f>
        <v>Total de Impostos (IRS; Imp. Selo; IVA)</v>
      </c>
      <c r="L29" s="457"/>
      <c r="M29" s="442">
        <f>M27+M19+N19</f>
        <v>-189.88</v>
      </c>
      <c r="N29" s="443"/>
    </row>
    <row r="30" spans="6:14" ht="7.5" customHeight="1" x14ac:dyDescent="0.25">
      <c r="F30" s="433" t="s">
        <v>90</v>
      </c>
      <c r="G30" s="434"/>
      <c r="H30" s="424">
        <f ca="1">IF(G11="Selecione o NOME do Cliente desta LISTA","",IF(G13="Conta Títulos","",IF(I13="NIF","",IF(H25="A PREENCHER","",IF(H27="A PREENCHER","",TIR!G255)))))</f>
        <v>1.404671E-2</v>
      </c>
      <c r="I30" s="425"/>
      <c r="J30" s="98"/>
      <c r="K30" s="95"/>
      <c r="L30" s="67"/>
      <c r="M30" s="67"/>
      <c r="N30" s="71"/>
    </row>
    <row r="31" spans="6:14" ht="22.5" customHeight="1" x14ac:dyDescent="0.25">
      <c r="F31" s="435"/>
      <c r="G31" s="380"/>
      <c r="H31" s="369"/>
      <c r="I31" s="374"/>
      <c r="J31" s="98"/>
      <c r="K31" s="427" t="s">
        <v>86</v>
      </c>
      <c r="L31" s="428"/>
      <c r="M31" s="429">
        <f>IF(G11="","",IF(G13="","",IF(I13="","",IF(H25="A PREENCHER","",IF(H27="A PREENCHER","",L19+M19+N19)))))</f>
        <v>-89.88</v>
      </c>
      <c r="N31" s="430"/>
    </row>
    <row r="32" spans="6:14" ht="7.5" customHeight="1" x14ac:dyDescent="0.25">
      <c r="F32" s="435"/>
      <c r="G32" s="380"/>
      <c r="H32" s="369"/>
      <c r="I32" s="374"/>
      <c r="J32" s="98"/>
      <c r="K32" s="101"/>
      <c r="L32" s="99"/>
      <c r="M32" s="99"/>
      <c r="N32" s="100"/>
    </row>
    <row r="33" spans="6:15" ht="27.75" customHeight="1" x14ac:dyDescent="0.25">
      <c r="F33" s="558" t="s">
        <v>96</v>
      </c>
      <c r="G33" s="559"/>
      <c r="H33" s="369"/>
      <c r="I33" s="374"/>
      <c r="J33" s="98"/>
      <c r="K33" s="404" t="s">
        <v>94</v>
      </c>
      <c r="L33" s="405"/>
      <c r="M33" s="431">
        <f>IF(G11="","",IF(G13="","",IF(I13="","",IF(H25="A PREENCHER","",IF(H27="A PREENCHER","",M25+M27+M31)))))</f>
        <v>360.12</v>
      </c>
      <c r="N33" s="432"/>
    </row>
    <row r="34" spans="6:15" ht="20.25" customHeight="1" x14ac:dyDescent="0.25">
      <c r="F34" s="438" t="str">
        <f>"Período de Subscrição: Entre as "&amp;'Mota Engil 2024-2029'!E28</f>
        <v>Período de Subscrição: Entre as 08:30h do dia 30/09/2024 ás 15:00h do dia 11/10/2024</v>
      </c>
      <c r="G34" s="438"/>
      <c r="H34" s="438"/>
      <c r="I34" s="438"/>
      <c r="J34" s="438"/>
      <c r="K34" s="438"/>
      <c r="L34" s="438"/>
      <c r="M34" s="438"/>
      <c r="N34" s="438"/>
    </row>
    <row r="35" spans="6:15" x14ac:dyDescent="0.25">
      <c r="F35" s="437" t="s">
        <v>61</v>
      </c>
      <c r="G35" s="437"/>
      <c r="H35" s="437"/>
      <c r="I35" s="437"/>
      <c r="J35" s="437"/>
      <c r="K35" s="437"/>
      <c r="L35" s="437"/>
      <c r="M35" s="437"/>
      <c r="N35" s="437"/>
    </row>
    <row r="36" spans="6:15" ht="7.5" customHeight="1" x14ac:dyDescent="0.25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" customHeight="1" x14ac:dyDescent="0.25">
      <c r="F37" s="361" t="s">
        <v>258</v>
      </c>
      <c r="G37" s="361"/>
      <c r="H37" s="361"/>
      <c r="I37" s="361"/>
      <c r="J37" s="361"/>
      <c r="K37" s="361"/>
      <c r="L37" s="361"/>
      <c r="M37" s="361"/>
      <c r="N37" s="361"/>
      <c r="O37" s="361"/>
    </row>
    <row r="38" spans="6:15" ht="13.9" customHeight="1" x14ac:dyDescent="0.25">
      <c r="F38" s="361"/>
      <c r="G38" s="361"/>
      <c r="H38" s="361"/>
      <c r="I38" s="361"/>
      <c r="J38" s="361"/>
      <c r="K38" s="361"/>
      <c r="L38" s="361"/>
      <c r="M38" s="361"/>
      <c r="N38" s="361"/>
      <c r="O38" s="361"/>
    </row>
    <row r="39" spans="6:15" ht="13.9" customHeight="1" thickBot="1" x14ac:dyDescent="0.3">
      <c r="F39" s="64"/>
      <c r="G39" s="64"/>
      <c r="H39" s="64"/>
      <c r="I39" s="64"/>
    </row>
    <row r="40" spans="6:15" ht="46.9" customHeight="1" x14ac:dyDescent="0.25">
      <c r="F40" s="216" t="s">
        <v>259</v>
      </c>
      <c r="G40" s="440" t="s">
        <v>266</v>
      </c>
      <c r="H40" s="440"/>
      <c r="I40" s="440" t="s">
        <v>261</v>
      </c>
      <c r="J40" s="458"/>
      <c r="K40" s="440" t="s">
        <v>267</v>
      </c>
      <c r="L40" s="440"/>
      <c r="M40" s="440" t="s">
        <v>260</v>
      </c>
      <c r="N40" s="458"/>
    </row>
    <row r="41" spans="6:15" ht="31.15" customHeight="1" thickBot="1" x14ac:dyDescent="0.3">
      <c r="F41" s="217">
        <f>H17</f>
        <v>1000</v>
      </c>
      <c r="G41" s="441">
        <f>L11+M11+L17+N17</f>
        <v>-28.38</v>
      </c>
      <c r="H41" s="441"/>
      <c r="I41" s="459">
        <f>G41/F41</f>
        <v>-2.8379999999999999E-2</v>
      </c>
      <c r="J41" s="460"/>
      <c r="K41" s="441">
        <f>IF(H27="A PREENCHER","",IF(H27="FALSO",(L13+N13),(L13+N13+L15+N15)))</f>
        <v>-61.5</v>
      </c>
      <c r="L41" s="441"/>
      <c r="M41" s="459">
        <f>IF(K41="","",(K41/F41))</f>
        <v>-6.1499999999999999E-2</v>
      </c>
      <c r="N41" s="460"/>
    </row>
    <row r="42" spans="6:15" ht="13.9" customHeight="1" x14ac:dyDescent="0.25">
      <c r="F42" s="64"/>
      <c r="G42" s="64"/>
      <c r="H42" s="64"/>
      <c r="I42" s="64"/>
    </row>
    <row r="43" spans="6:15" ht="13.9" customHeight="1" x14ac:dyDescent="0.25">
      <c r="F43" s="388" t="s">
        <v>268</v>
      </c>
      <c r="G43" s="388"/>
      <c r="H43" s="388"/>
      <c r="I43" s="388"/>
      <c r="J43" s="388"/>
      <c r="K43" s="388"/>
      <c r="L43" s="388"/>
      <c r="M43" s="388"/>
      <c r="N43" s="388"/>
      <c r="O43" s="388"/>
    </row>
    <row r="44" spans="6:15" ht="13.9" customHeight="1" x14ac:dyDescent="0.25">
      <c r="F44" s="388" t="s">
        <v>269</v>
      </c>
      <c r="G44" s="388"/>
      <c r="H44" s="388"/>
      <c r="I44" s="388"/>
      <c r="J44" s="388"/>
      <c r="K44" s="388"/>
      <c r="L44" s="388"/>
      <c r="M44" s="388"/>
      <c r="N44" s="388"/>
      <c r="O44" s="388"/>
    </row>
    <row r="45" spans="6:15" ht="13.9" customHeight="1" x14ac:dyDescent="0.25">
      <c r="F45" s="64"/>
      <c r="G45" s="64"/>
      <c r="H45" s="64"/>
      <c r="I45" s="64"/>
    </row>
    <row r="46" spans="6:15" ht="13.9" customHeight="1" x14ac:dyDescent="0.25">
      <c r="F46" s="361" t="s">
        <v>256</v>
      </c>
      <c r="G46" s="361"/>
      <c r="H46" s="361"/>
      <c r="I46" s="361"/>
      <c r="J46" s="361"/>
      <c r="K46" s="361"/>
      <c r="L46" s="361"/>
      <c r="M46" s="361"/>
      <c r="N46" s="361"/>
      <c r="O46" s="361"/>
    </row>
    <row r="47" spans="6:15" ht="13.9" customHeight="1" x14ac:dyDescent="0.25">
      <c r="F47" s="361"/>
      <c r="G47" s="361"/>
      <c r="H47" s="361"/>
      <c r="I47" s="361"/>
      <c r="J47" s="361"/>
      <c r="K47" s="361"/>
      <c r="L47" s="361"/>
      <c r="M47" s="361"/>
      <c r="N47" s="361"/>
      <c r="O47" s="361"/>
    </row>
    <row r="48" spans="6:15" ht="13.9" customHeight="1" thickBot="1" x14ac:dyDescent="0.3">
      <c r="F48" s="64"/>
      <c r="G48" s="64"/>
      <c r="H48" s="64"/>
      <c r="I48" s="64"/>
    </row>
    <row r="49" spans="6:14" ht="13.9" customHeight="1" x14ac:dyDescent="0.25">
      <c r="F49" s="376" t="s">
        <v>247</v>
      </c>
      <c r="G49" s="377"/>
      <c r="H49" s="377"/>
      <c r="I49" s="378"/>
      <c r="J49" s="367">
        <f ca="1">IF(G11="","",IF(G13="","",IF(I13="","",IF(H25="A PREENCHER","",IF(H27="A PREENCHER","",TIR!G261)))))</f>
        <v>3.2154599999999998E-2</v>
      </c>
      <c r="K49" s="373"/>
      <c r="L49" s="364" t="s">
        <v>248</v>
      </c>
      <c r="M49" s="367">
        <f ca="1">IF(G11="","",IF(G13="","",IF(I13="","",IF(H25="A PREENCHER","",IF(H27="A PREENCHER","",TIR!G267)))))</f>
        <v>-0.56315084000422955</v>
      </c>
      <c r="N49" s="368"/>
    </row>
    <row r="50" spans="6:14" ht="13.9" customHeight="1" x14ac:dyDescent="0.25">
      <c r="F50" s="379"/>
      <c r="G50" s="380"/>
      <c r="H50" s="380"/>
      <c r="I50" s="381"/>
      <c r="J50" s="369"/>
      <c r="K50" s="374"/>
      <c r="L50" s="365"/>
      <c r="M50" s="369"/>
      <c r="N50" s="370"/>
    </row>
    <row r="51" spans="6:14" ht="13.9" customHeight="1" x14ac:dyDescent="0.25">
      <c r="F51" s="379"/>
      <c r="G51" s="380"/>
      <c r="H51" s="380"/>
      <c r="I51" s="381"/>
      <c r="J51" s="369"/>
      <c r="K51" s="374"/>
      <c r="L51" s="365"/>
      <c r="M51" s="369"/>
      <c r="N51" s="370"/>
    </row>
    <row r="52" spans="6:14" ht="22.9" customHeight="1" thickBot="1" x14ac:dyDescent="0.3">
      <c r="F52" s="382" t="s">
        <v>96</v>
      </c>
      <c r="G52" s="383"/>
      <c r="H52" s="383"/>
      <c r="I52" s="384"/>
      <c r="J52" s="371"/>
      <c r="K52" s="375"/>
      <c r="L52" s="366"/>
      <c r="M52" s="371"/>
      <c r="N52" s="372"/>
    </row>
    <row r="53" spans="6:14" ht="13.9" customHeight="1" x14ac:dyDescent="0.25">
      <c r="F53" s="64"/>
      <c r="G53" s="64"/>
      <c r="H53" s="64"/>
      <c r="I53" s="64"/>
    </row>
    <row r="54" spans="6:14" ht="15.6" customHeight="1" x14ac:dyDescent="0.25">
      <c r="F54" s="439">
        <f ca="1">IF(TODAY()&lt;'Mota Engil 2024-2029'!B25,'Mota Engil 2024-2029'!B25,TODAY())</f>
        <v>45565</v>
      </c>
      <c r="G54" s="439"/>
      <c r="H54" s="439"/>
      <c r="I54" s="439"/>
      <c r="J54" s="439"/>
      <c r="K54" s="439"/>
      <c r="L54" s="439"/>
      <c r="M54" s="439"/>
      <c r="N54" s="439"/>
    </row>
    <row r="55" spans="6:14" ht="7.5" customHeight="1" x14ac:dyDescent="0.25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75" x14ac:dyDescent="0.25">
      <c r="L56" s="406"/>
      <c r="M56" s="406"/>
    </row>
    <row r="57" spans="6:14" ht="15" customHeight="1" x14ac:dyDescent="0.25">
      <c r="G57" s="406"/>
      <c r="H57" s="406"/>
      <c r="L57" s="64"/>
      <c r="M57" s="64"/>
    </row>
    <row r="58" spans="6:14" x14ac:dyDescent="0.25">
      <c r="G58" s="64"/>
      <c r="L58" s="64"/>
      <c r="M58" s="64"/>
    </row>
    <row r="59" spans="6:14" ht="7.5" customHeight="1" x14ac:dyDescent="0.25">
      <c r="G59" s="64"/>
      <c r="L59" s="64"/>
      <c r="M59" s="64"/>
    </row>
    <row r="60" spans="6:14" ht="15" customHeight="1" x14ac:dyDescent="0.25">
      <c r="G60" s="426"/>
      <c r="H60" s="426"/>
      <c r="K60" s="436"/>
      <c r="L60" s="436"/>
      <c r="M60" s="436"/>
      <c r="N60" s="436"/>
    </row>
    <row r="61" spans="6:14" ht="25.5" x14ac:dyDescent="0.35">
      <c r="G61" s="64"/>
      <c r="K61" s="385"/>
      <c r="L61" s="385"/>
      <c r="M61" s="385"/>
      <c r="N61" s="385"/>
    </row>
    <row r="62" spans="6:14" x14ac:dyDescent="0.25">
      <c r="L62" s="386"/>
      <c r="M62" s="386"/>
    </row>
    <row r="63" spans="6:14" x14ac:dyDescent="0.25">
      <c r="F63" s="403"/>
      <c r="G63" s="403"/>
      <c r="H63" s="403"/>
      <c r="I63" s="403"/>
      <c r="J63" s="403"/>
      <c r="K63" s="403"/>
      <c r="L63" s="403"/>
      <c r="M63" s="403"/>
      <c r="N63" s="403"/>
    </row>
    <row r="65" spans="6:15" ht="31.5" customHeight="1" x14ac:dyDescent="0.25">
      <c r="F65" s="1"/>
      <c r="G65" s="1"/>
      <c r="H65" s="1"/>
      <c r="I65" s="1"/>
    </row>
    <row r="66" spans="6:15" ht="24" customHeight="1" x14ac:dyDescent="0.25">
      <c r="F66" s="1"/>
      <c r="G66" s="1"/>
      <c r="H66" s="1"/>
      <c r="I66" s="1"/>
    </row>
    <row r="67" spans="6:15" ht="7.5" customHeight="1" x14ac:dyDescent="0.25"/>
    <row r="68" spans="6:15" ht="27" customHeight="1" x14ac:dyDescent="0.25">
      <c r="F68" s="1"/>
      <c r="G68" s="1"/>
      <c r="H68" s="1"/>
      <c r="I68" s="1"/>
      <c r="J68" s="1"/>
    </row>
    <row r="69" spans="6:15" ht="15" customHeight="1" x14ac:dyDescent="0.25">
      <c r="F69" s="1"/>
      <c r="G69" s="1"/>
      <c r="H69" s="1"/>
      <c r="I69" s="1"/>
      <c r="J69" s="1"/>
    </row>
    <row r="70" spans="6:15" ht="13.9" customHeight="1" x14ac:dyDescent="0.25">
      <c r="F70" s="64"/>
      <c r="G70" s="64"/>
      <c r="H70" s="64"/>
      <c r="I70" s="64"/>
    </row>
    <row r="71" spans="6:15" ht="13.9" customHeight="1" x14ac:dyDescent="0.25"/>
    <row r="72" spans="6:15" ht="13.9" customHeight="1" x14ac:dyDescent="0.25">
      <c r="F72" s="361" t="s">
        <v>257</v>
      </c>
      <c r="G72" s="361"/>
      <c r="H72" s="361"/>
      <c r="I72" s="361"/>
      <c r="J72" s="361"/>
      <c r="K72" s="361"/>
      <c r="L72" s="361"/>
      <c r="M72" s="361"/>
      <c r="N72" s="361"/>
      <c r="O72" s="361"/>
    </row>
    <row r="73" spans="6:15" ht="13.9" customHeight="1" x14ac:dyDescent="0.25">
      <c r="F73" s="361"/>
      <c r="G73" s="361"/>
      <c r="H73" s="361"/>
      <c r="I73" s="361"/>
      <c r="J73" s="361"/>
      <c r="K73" s="361"/>
      <c r="L73" s="361"/>
      <c r="M73" s="361"/>
      <c r="N73" s="361"/>
      <c r="O73" s="361"/>
    </row>
    <row r="74" spans="6:15" ht="13.9" customHeight="1" x14ac:dyDescent="0.25"/>
    <row r="75" spans="6:15" ht="13.9" customHeight="1" x14ac:dyDescent="0.25">
      <c r="F75" s="358" t="s">
        <v>62</v>
      </c>
      <c r="G75" s="363" t="s">
        <v>252</v>
      </c>
      <c r="H75" s="363"/>
      <c r="I75" s="363"/>
      <c r="J75" s="362" t="s">
        <v>39</v>
      </c>
      <c r="K75" s="362"/>
      <c r="L75" s="362"/>
      <c r="M75" s="362"/>
      <c r="N75" s="359" t="s">
        <v>77</v>
      </c>
      <c r="O75" s="359"/>
    </row>
    <row r="76" spans="6:15" ht="13.9" customHeight="1" x14ac:dyDescent="0.25">
      <c r="F76" s="358"/>
      <c r="G76" s="213" t="s">
        <v>41</v>
      </c>
      <c r="H76" s="213" t="str">
        <f>TIR!F202</f>
        <v>Comissão</v>
      </c>
      <c r="I76" s="213" t="s">
        <v>250</v>
      </c>
      <c r="J76" s="211" t="s">
        <v>254</v>
      </c>
      <c r="K76" s="212" t="s">
        <v>255</v>
      </c>
      <c r="L76" s="212" t="str">
        <f>TIR!J202</f>
        <v>Comissão</v>
      </c>
      <c r="M76" s="212" t="str">
        <f>TIR!K202</f>
        <v>IVA</v>
      </c>
      <c r="N76" s="214" t="s">
        <v>42</v>
      </c>
      <c r="O76" s="214" t="str">
        <f>TIR!M202</f>
        <v>IVA</v>
      </c>
    </row>
    <row r="77" spans="6:15" ht="13.9" customHeight="1" x14ac:dyDescent="0.25">
      <c r="F77" s="202">
        <f>TIR!D203</f>
        <v>45581</v>
      </c>
      <c r="G77" s="203">
        <f>TIR!U203</f>
        <v>-2500</v>
      </c>
      <c r="H77" s="203">
        <f>TIR!V203</f>
        <v>-12.5</v>
      </c>
      <c r="I77" s="203">
        <f>TIR!W203</f>
        <v>-0.5</v>
      </c>
      <c r="J77" s="204">
        <f>TIR!H203</f>
        <v>0</v>
      </c>
      <c r="K77" s="204">
        <f>TIR!I203</f>
        <v>0</v>
      </c>
      <c r="L77" s="204">
        <f>TIR!J203</f>
        <v>0</v>
      </c>
      <c r="M77" s="204">
        <f>TIR!K203</f>
        <v>0</v>
      </c>
      <c r="N77" s="215">
        <f>TIR!L203</f>
        <v>0</v>
      </c>
      <c r="O77" s="215">
        <f>TIR!M203</f>
        <v>0</v>
      </c>
    </row>
    <row r="78" spans="6:15" ht="13.9" customHeight="1" x14ac:dyDescent="0.25">
      <c r="F78" s="202">
        <f>TIR!D204</f>
        <v>45658</v>
      </c>
      <c r="G78" s="203">
        <f>TIR!U204</f>
        <v>0</v>
      </c>
      <c r="H78" s="203">
        <f>TIR!V204</f>
        <v>0</v>
      </c>
      <c r="I78" s="203">
        <f>TIR!W204</f>
        <v>0</v>
      </c>
      <c r="J78" s="204">
        <f>TIR!H204</f>
        <v>0</v>
      </c>
      <c r="K78" s="204">
        <f>TIR!I204</f>
        <v>0</v>
      </c>
      <c r="L78" s="204">
        <f>TIR!J204</f>
        <v>0</v>
      </c>
      <c r="M78" s="204">
        <f>TIR!K204</f>
        <v>0</v>
      </c>
      <c r="N78" s="215">
        <f>TIR!L204</f>
        <v>-7.5</v>
      </c>
      <c r="O78" s="215">
        <f>TIR!M204</f>
        <v>-1.73</v>
      </c>
    </row>
    <row r="79" spans="6:15" ht="13.9" customHeight="1" x14ac:dyDescent="0.25">
      <c r="F79" s="202">
        <f>TIR!D205</f>
        <v>45748</v>
      </c>
      <c r="G79" s="203">
        <f>TIR!U205</f>
        <v>0</v>
      </c>
      <c r="H79" s="203">
        <f>TIR!V205</f>
        <v>0</v>
      </c>
      <c r="I79" s="203">
        <f>TIR!W205</f>
        <v>0</v>
      </c>
      <c r="J79" s="204">
        <f>TIR!H205</f>
        <v>0</v>
      </c>
      <c r="K79" s="204">
        <f>TIR!I205</f>
        <v>0</v>
      </c>
      <c r="L79" s="204">
        <f>TIR!J205</f>
        <v>0</v>
      </c>
      <c r="M79" s="204">
        <f>TIR!K205</f>
        <v>0</v>
      </c>
      <c r="N79" s="215">
        <f>TIR!L205</f>
        <v>-7.5</v>
      </c>
      <c r="O79" s="215">
        <f>TIR!M205</f>
        <v>-1.73</v>
      </c>
    </row>
    <row r="80" spans="6:15" ht="13.9" customHeight="1" x14ac:dyDescent="0.25">
      <c r="F80" s="202">
        <f>TIR!D206</f>
        <v>45763</v>
      </c>
      <c r="G80" s="203">
        <f>TIR!U206</f>
        <v>0</v>
      </c>
      <c r="H80" s="203">
        <f>TIR!V206</f>
        <v>0</v>
      </c>
      <c r="I80" s="203">
        <f>TIR!W206</f>
        <v>0</v>
      </c>
      <c r="J80" s="204">
        <f>TIR!H206</f>
        <v>62.5</v>
      </c>
      <c r="K80" s="204">
        <f>TIR!I206</f>
        <v>-17.5</v>
      </c>
      <c r="L80" s="204">
        <f>TIR!J206</f>
        <v>-5</v>
      </c>
      <c r="M80" s="204">
        <f>TIR!K206</f>
        <v>-1.1499999999999999</v>
      </c>
      <c r="N80" s="215">
        <f>TIR!L206</f>
        <v>0</v>
      </c>
      <c r="O80" s="215">
        <f>TIR!M206</f>
        <v>0</v>
      </c>
    </row>
    <row r="81" spans="6:15" ht="13.9" customHeight="1" x14ac:dyDescent="0.25">
      <c r="F81" s="202">
        <f>TIR!D207</f>
        <v>45839</v>
      </c>
      <c r="G81" s="203">
        <f>TIR!U207</f>
        <v>0</v>
      </c>
      <c r="H81" s="203">
        <f>TIR!V207</f>
        <v>0</v>
      </c>
      <c r="I81" s="203">
        <f>TIR!W207</f>
        <v>0</v>
      </c>
      <c r="J81" s="204">
        <f>TIR!H207</f>
        <v>0</v>
      </c>
      <c r="K81" s="204">
        <f>TIR!I207</f>
        <v>0</v>
      </c>
      <c r="L81" s="204">
        <f>TIR!J207</f>
        <v>0</v>
      </c>
      <c r="M81" s="204">
        <f>TIR!K207</f>
        <v>0</v>
      </c>
      <c r="N81" s="215">
        <f>TIR!L207</f>
        <v>-7.5</v>
      </c>
      <c r="O81" s="215">
        <f>TIR!M207</f>
        <v>-1.73</v>
      </c>
    </row>
    <row r="82" spans="6:15" ht="13.9" customHeight="1" x14ac:dyDescent="0.25">
      <c r="F82" s="202">
        <f>TIR!D208</f>
        <v>45931</v>
      </c>
      <c r="G82" s="203">
        <f>TIR!U208</f>
        <v>0</v>
      </c>
      <c r="H82" s="203">
        <f>TIR!V208</f>
        <v>0</v>
      </c>
      <c r="I82" s="203">
        <f>TIR!W208</f>
        <v>0</v>
      </c>
      <c r="J82" s="204">
        <f>TIR!H208</f>
        <v>0</v>
      </c>
      <c r="K82" s="204">
        <f>TIR!I208</f>
        <v>0</v>
      </c>
      <c r="L82" s="204">
        <f>TIR!J208</f>
        <v>0</v>
      </c>
      <c r="M82" s="204">
        <f>TIR!K208</f>
        <v>0</v>
      </c>
      <c r="N82" s="215">
        <f>TIR!L208</f>
        <v>-7.5</v>
      </c>
      <c r="O82" s="215">
        <f>TIR!M208</f>
        <v>-1.73</v>
      </c>
    </row>
    <row r="83" spans="6:15" ht="13.9" customHeight="1" x14ac:dyDescent="0.25">
      <c r="F83" s="202">
        <f>TIR!D209</f>
        <v>45946</v>
      </c>
      <c r="G83" s="203">
        <f>TIR!U209</f>
        <v>0</v>
      </c>
      <c r="H83" s="203">
        <f>TIR!V209</f>
        <v>0</v>
      </c>
      <c r="I83" s="203">
        <f>TIR!W209</f>
        <v>0</v>
      </c>
      <c r="J83" s="204">
        <f>TIR!H209</f>
        <v>62.5</v>
      </c>
      <c r="K83" s="204">
        <f>TIR!I209</f>
        <v>-17.5</v>
      </c>
      <c r="L83" s="204">
        <f>TIR!J209</f>
        <v>-5</v>
      </c>
      <c r="M83" s="204">
        <f>TIR!K209</f>
        <v>-1.1499999999999999</v>
      </c>
      <c r="N83" s="215">
        <f>TIR!L209</f>
        <v>0</v>
      </c>
      <c r="O83" s="215">
        <f>TIR!M209</f>
        <v>0</v>
      </c>
    </row>
    <row r="84" spans="6:15" ht="13.9" customHeight="1" x14ac:dyDescent="0.25">
      <c r="F84" s="202">
        <f>TIR!D210</f>
        <v>46023</v>
      </c>
      <c r="G84" s="203">
        <f>TIR!U210</f>
        <v>0</v>
      </c>
      <c r="H84" s="203">
        <f>TIR!V210</f>
        <v>0</v>
      </c>
      <c r="I84" s="203">
        <f>TIR!W210</f>
        <v>0</v>
      </c>
      <c r="J84" s="204">
        <f>TIR!H210</f>
        <v>0</v>
      </c>
      <c r="K84" s="204">
        <f>TIR!I210</f>
        <v>0</v>
      </c>
      <c r="L84" s="204">
        <f>TIR!J210</f>
        <v>0</v>
      </c>
      <c r="M84" s="204">
        <f>TIR!K210</f>
        <v>0</v>
      </c>
      <c r="N84" s="215">
        <f>TIR!L210</f>
        <v>-7.5</v>
      </c>
      <c r="O84" s="215">
        <f>TIR!M210</f>
        <v>-1.73</v>
      </c>
    </row>
    <row r="85" spans="6:15" ht="13.9" customHeight="1" x14ac:dyDescent="0.25">
      <c r="F85" s="202">
        <f>TIR!D211</f>
        <v>46113</v>
      </c>
      <c r="G85" s="203">
        <f>TIR!U211</f>
        <v>0</v>
      </c>
      <c r="H85" s="203">
        <f>TIR!V211</f>
        <v>0</v>
      </c>
      <c r="I85" s="203">
        <f>TIR!W211</f>
        <v>0</v>
      </c>
      <c r="J85" s="204">
        <f>TIR!H211</f>
        <v>0</v>
      </c>
      <c r="K85" s="204">
        <f>TIR!I211</f>
        <v>0</v>
      </c>
      <c r="L85" s="204">
        <f>TIR!J211</f>
        <v>0</v>
      </c>
      <c r="M85" s="204">
        <f>TIR!K211</f>
        <v>0</v>
      </c>
      <c r="N85" s="215">
        <f>TIR!L211</f>
        <v>-7.5</v>
      </c>
      <c r="O85" s="215">
        <f>TIR!M211</f>
        <v>-1.73</v>
      </c>
    </row>
    <row r="86" spans="6:15" ht="13.9" customHeight="1" x14ac:dyDescent="0.25">
      <c r="F86" s="202">
        <f>TIR!D212</f>
        <v>46128</v>
      </c>
      <c r="G86" s="203">
        <f>TIR!U212</f>
        <v>0</v>
      </c>
      <c r="H86" s="203">
        <f>TIR!V212</f>
        <v>0</v>
      </c>
      <c r="I86" s="203">
        <f>TIR!W212</f>
        <v>0</v>
      </c>
      <c r="J86" s="204">
        <f>TIR!H212</f>
        <v>62.5</v>
      </c>
      <c r="K86" s="204">
        <f>TIR!I212</f>
        <v>-17.5</v>
      </c>
      <c r="L86" s="204">
        <f>TIR!J212</f>
        <v>-5</v>
      </c>
      <c r="M86" s="204">
        <f>TIR!K212</f>
        <v>-1.1499999999999999</v>
      </c>
      <c r="N86" s="215">
        <f>TIR!L212</f>
        <v>0</v>
      </c>
      <c r="O86" s="215">
        <f>TIR!M212</f>
        <v>0</v>
      </c>
    </row>
    <row r="87" spans="6:15" ht="13.9" customHeight="1" x14ac:dyDescent="0.25">
      <c r="F87" s="202">
        <f>TIR!D213</f>
        <v>46204</v>
      </c>
      <c r="G87" s="203">
        <f>TIR!U213</f>
        <v>0</v>
      </c>
      <c r="H87" s="203">
        <f>TIR!V213</f>
        <v>0</v>
      </c>
      <c r="I87" s="203">
        <f>TIR!W213</f>
        <v>0</v>
      </c>
      <c r="J87" s="204">
        <f>TIR!H213</f>
        <v>0</v>
      </c>
      <c r="K87" s="204">
        <f>TIR!I213</f>
        <v>0</v>
      </c>
      <c r="L87" s="204">
        <f>TIR!J213</f>
        <v>0</v>
      </c>
      <c r="M87" s="204">
        <f>TIR!K213</f>
        <v>0</v>
      </c>
      <c r="N87" s="215">
        <f>TIR!L213</f>
        <v>-7.5</v>
      </c>
      <c r="O87" s="215">
        <f>TIR!M213</f>
        <v>-1.73</v>
      </c>
    </row>
    <row r="88" spans="6:15" ht="13.9" customHeight="1" x14ac:dyDescent="0.25">
      <c r="F88" s="202">
        <f>TIR!D214</f>
        <v>46296</v>
      </c>
      <c r="G88" s="203">
        <f>TIR!U214</f>
        <v>0</v>
      </c>
      <c r="H88" s="203">
        <f>TIR!V214</f>
        <v>0</v>
      </c>
      <c r="I88" s="203">
        <f>TIR!W214</f>
        <v>0</v>
      </c>
      <c r="J88" s="204">
        <f>TIR!H214</f>
        <v>0</v>
      </c>
      <c r="K88" s="204">
        <f>TIR!I214</f>
        <v>0</v>
      </c>
      <c r="L88" s="204">
        <f>TIR!J214</f>
        <v>0</v>
      </c>
      <c r="M88" s="204">
        <f>TIR!K214</f>
        <v>0</v>
      </c>
      <c r="N88" s="215">
        <f>TIR!L214</f>
        <v>-7.5</v>
      </c>
      <c r="O88" s="215">
        <f>TIR!M214</f>
        <v>-1.73</v>
      </c>
    </row>
    <row r="89" spans="6:15" ht="13.9" customHeight="1" x14ac:dyDescent="0.25">
      <c r="F89" s="202">
        <f>TIR!D215</f>
        <v>46311</v>
      </c>
      <c r="G89" s="203">
        <f>TIR!U215</f>
        <v>0</v>
      </c>
      <c r="H89" s="203">
        <f>TIR!V215</f>
        <v>0</v>
      </c>
      <c r="I89" s="203">
        <f>TIR!W215</f>
        <v>0</v>
      </c>
      <c r="J89" s="204">
        <f>TIR!H215</f>
        <v>62.5</v>
      </c>
      <c r="K89" s="204">
        <f>TIR!I215</f>
        <v>-17.5</v>
      </c>
      <c r="L89" s="204">
        <f>TIR!J215</f>
        <v>-5</v>
      </c>
      <c r="M89" s="204">
        <f>TIR!K215</f>
        <v>-1.1499999999999999</v>
      </c>
      <c r="N89" s="215">
        <f>TIR!L215</f>
        <v>0</v>
      </c>
      <c r="O89" s="215">
        <f>TIR!M215</f>
        <v>0</v>
      </c>
    </row>
    <row r="90" spans="6:15" ht="13.9" customHeight="1" x14ac:dyDescent="0.25">
      <c r="F90" s="202">
        <f>TIR!D216</f>
        <v>46388</v>
      </c>
      <c r="G90" s="203">
        <f>TIR!U216</f>
        <v>0</v>
      </c>
      <c r="H90" s="203">
        <f>TIR!V216</f>
        <v>0</v>
      </c>
      <c r="I90" s="203">
        <f>TIR!W216</f>
        <v>0</v>
      </c>
      <c r="J90" s="204">
        <f>TIR!H216</f>
        <v>0</v>
      </c>
      <c r="K90" s="204">
        <f>TIR!I216</f>
        <v>0</v>
      </c>
      <c r="L90" s="204">
        <f>TIR!J216</f>
        <v>0</v>
      </c>
      <c r="M90" s="204">
        <f>TIR!K216</f>
        <v>0</v>
      </c>
      <c r="N90" s="215">
        <f>TIR!L216</f>
        <v>-7.5</v>
      </c>
      <c r="O90" s="215">
        <f>TIR!M216</f>
        <v>-1.73</v>
      </c>
    </row>
    <row r="91" spans="6:15" ht="13.9" customHeight="1" x14ac:dyDescent="0.25">
      <c r="F91" s="202">
        <f>TIR!D217</f>
        <v>46478</v>
      </c>
      <c r="G91" s="203">
        <f>TIR!U217</f>
        <v>0</v>
      </c>
      <c r="H91" s="203">
        <f>TIR!V217</f>
        <v>0</v>
      </c>
      <c r="I91" s="203">
        <f>TIR!W217</f>
        <v>0</v>
      </c>
      <c r="J91" s="204">
        <f>TIR!H217</f>
        <v>0</v>
      </c>
      <c r="K91" s="204">
        <f>TIR!I217</f>
        <v>0</v>
      </c>
      <c r="L91" s="204">
        <f>TIR!J217</f>
        <v>0</v>
      </c>
      <c r="M91" s="204">
        <f>TIR!K217</f>
        <v>0</v>
      </c>
      <c r="N91" s="215">
        <f>TIR!L217</f>
        <v>-7.5</v>
      </c>
      <c r="O91" s="215">
        <f>TIR!M217</f>
        <v>-1.73</v>
      </c>
    </row>
    <row r="92" spans="6:15" ht="13.9" customHeight="1" x14ac:dyDescent="0.25">
      <c r="F92" s="202">
        <f>TIR!D218</f>
        <v>46493</v>
      </c>
      <c r="G92" s="203">
        <f>TIR!U218</f>
        <v>0</v>
      </c>
      <c r="H92" s="203">
        <f>TIR!V218</f>
        <v>0</v>
      </c>
      <c r="I92" s="203">
        <f>TIR!W218</f>
        <v>0</v>
      </c>
      <c r="J92" s="204">
        <f>TIR!H218</f>
        <v>62.5</v>
      </c>
      <c r="K92" s="204">
        <f>TIR!I218</f>
        <v>-17.5</v>
      </c>
      <c r="L92" s="204">
        <f>TIR!J218</f>
        <v>-5</v>
      </c>
      <c r="M92" s="204">
        <f>TIR!K218</f>
        <v>-1.1499999999999999</v>
      </c>
      <c r="N92" s="215">
        <f>TIR!L218</f>
        <v>0</v>
      </c>
      <c r="O92" s="215">
        <f>TIR!M218</f>
        <v>0</v>
      </c>
    </row>
    <row r="93" spans="6:15" ht="13.9" customHeight="1" x14ac:dyDescent="0.25">
      <c r="F93" s="202">
        <f>TIR!D219</f>
        <v>46569</v>
      </c>
      <c r="G93" s="203">
        <f>TIR!U219</f>
        <v>0</v>
      </c>
      <c r="H93" s="203">
        <f>TIR!V219</f>
        <v>0</v>
      </c>
      <c r="I93" s="203">
        <f>TIR!W219</f>
        <v>0</v>
      </c>
      <c r="J93" s="204">
        <f>TIR!H219</f>
        <v>0</v>
      </c>
      <c r="K93" s="204">
        <f>TIR!I219</f>
        <v>0</v>
      </c>
      <c r="L93" s="204">
        <f>TIR!J219</f>
        <v>0</v>
      </c>
      <c r="M93" s="204">
        <f>TIR!K219</f>
        <v>0</v>
      </c>
      <c r="N93" s="215">
        <f>TIR!L219</f>
        <v>-7.5</v>
      </c>
      <c r="O93" s="215">
        <f>TIR!M219</f>
        <v>-1.73</v>
      </c>
    </row>
    <row r="94" spans="6:15" ht="13.9" customHeight="1" x14ac:dyDescent="0.25">
      <c r="F94" s="202">
        <f>TIR!D220</f>
        <v>46661</v>
      </c>
      <c r="G94" s="203">
        <f>TIR!U220</f>
        <v>0</v>
      </c>
      <c r="H94" s="203">
        <f>TIR!V220</f>
        <v>0</v>
      </c>
      <c r="I94" s="203">
        <f>TIR!W220</f>
        <v>0</v>
      </c>
      <c r="J94" s="204">
        <f>TIR!H220</f>
        <v>0</v>
      </c>
      <c r="K94" s="204">
        <f>TIR!I220</f>
        <v>0</v>
      </c>
      <c r="L94" s="204">
        <f>TIR!J220</f>
        <v>0</v>
      </c>
      <c r="M94" s="204">
        <f>TIR!K220</f>
        <v>0</v>
      </c>
      <c r="N94" s="215">
        <f>TIR!L220</f>
        <v>-7.5</v>
      </c>
      <c r="O94" s="215">
        <f>TIR!M220</f>
        <v>-1.73</v>
      </c>
    </row>
    <row r="95" spans="6:15" ht="13.9" customHeight="1" x14ac:dyDescent="0.25">
      <c r="F95" s="202">
        <f>TIR!D221</f>
        <v>46676</v>
      </c>
      <c r="G95" s="203">
        <f>TIR!U221</f>
        <v>0</v>
      </c>
      <c r="H95" s="203">
        <f>TIR!V221</f>
        <v>0</v>
      </c>
      <c r="I95" s="203">
        <f>TIR!W221</f>
        <v>0</v>
      </c>
      <c r="J95" s="204">
        <f>TIR!H221</f>
        <v>62.5</v>
      </c>
      <c r="K95" s="204">
        <f>TIR!I221</f>
        <v>-17.5</v>
      </c>
      <c r="L95" s="204">
        <f>TIR!J221</f>
        <v>-5</v>
      </c>
      <c r="M95" s="204">
        <f>TIR!K221</f>
        <v>-1.1499999999999999</v>
      </c>
      <c r="N95" s="215">
        <f>TIR!L221</f>
        <v>0</v>
      </c>
      <c r="O95" s="215">
        <f>TIR!M221</f>
        <v>0</v>
      </c>
    </row>
    <row r="96" spans="6:15" ht="13.9" customHeight="1" x14ac:dyDescent="0.25">
      <c r="F96" s="202">
        <f>TIR!D222</f>
        <v>46753</v>
      </c>
      <c r="G96" s="203">
        <f>TIR!U222</f>
        <v>0</v>
      </c>
      <c r="H96" s="203">
        <f>TIR!V222</f>
        <v>0</v>
      </c>
      <c r="I96" s="203">
        <f>TIR!W222</f>
        <v>0</v>
      </c>
      <c r="J96" s="204">
        <f>TIR!H222</f>
        <v>0</v>
      </c>
      <c r="K96" s="204">
        <f>TIR!I222</f>
        <v>0</v>
      </c>
      <c r="L96" s="204">
        <f>TIR!J222</f>
        <v>0</v>
      </c>
      <c r="M96" s="204">
        <f>TIR!K222</f>
        <v>0</v>
      </c>
      <c r="N96" s="215">
        <f>TIR!L222</f>
        <v>-7.5</v>
      </c>
      <c r="O96" s="215">
        <f>TIR!M222</f>
        <v>-1.73</v>
      </c>
    </row>
    <row r="97" spans="6:15" ht="13.9" customHeight="1" x14ac:dyDescent="0.25">
      <c r="F97" s="202">
        <f>TIR!D223</f>
        <v>46844</v>
      </c>
      <c r="G97" s="203">
        <f>TIR!U223</f>
        <v>0</v>
      </c>
      <c r="H97" s="203">
        <f>TIR!V223</f>
        <v>0</v>
      </c>
      <c r="I97" s="203">
        <f>TIR!W223</f>
        <v>0</v>
      </c>
      <c r="J97" s="204">
        <f>TIR!H223</f>
        <v>0</v>
      </c>
      <c r="K97" s="204">
        <f>TIR!I223</f>
        <v>0</v>
      </c>
      <c r="L97" s="204">
        <f>TIR!J223</f>
        <v>0</v>
      </c>
      <c r="M97" s="204">
        <f>TIR!K223</f>
        <v>0</v>
      </c>
      <c r="N97" s="215">
        <f>TIR!L223</f>
        <v>-7.5</v>
      </c>
      <c r="O97" s="215">
        <f>TIR!M223</f>
        <v>-1.73</v>
      </c>
    </row>
    <row r="98" spans="6:15" ht="13.9" customHeight="1" x14ac:dyDescent="0.25">
      <c r="F98" s="202">
        <f>TIR!D224</f>
        <v>46859</v>
      </c>
      <c r="G98" s="203">
        <f>TIR!U224</f>
        <v>0</v>
      </c>
      <c r="H98" s="203">
        <f>TIR!V224</f>
        <v>0</v>
      </c>
      <c r="I98" s="203">
        <f>TIR!W224</f>
        <v>0</v>
      </c>
      <c r="J98" s="204">
        <f>TIR!H224</f>
        <v>62.5</v>
      </c>
      <c r="K98" s="204">
        <f>TIR!I224</f>
        <v>-17.5</v>
      </c>
      <c r="L98" s="204">
        <f>TIR!J224</f>
        <v>-5</v>
      </c>
      <c r="M98" s="204">
        <f>TIR!K224</f>
        <v>-1.1499999999999999</v>
      </c>
      <c r="N98" s="215">
        <f>TIR!L224</f>
        <v>0</v>
      </c>
      <c r="O98" s="215">
        <f>TIR!M224</f>
        <v>0</v>
      </c>
    </row>
    <row r="99" spans="6:15" ht="13.9" customHeight="1" x14ac:dyDescent="0.25">
      <c r="F99" s="202">
        <f>TIR!D225</f>
        <v>46935</v>
      </c>
      <c r="G99" s="203">
        <f>TIR!U225</f>
        <v>0</v>
      </c>
      <c r="H99" s="203">
        <f>TIR!V225</f>
        <v>0</v>
      </c>
      <c r="I99" s="203">
        <f>TIR!W225</f>
        <v>0</v>
      </c>
      <c r="J99" s="204">
        <f>TIR!H225</f>
        <v>0</v>
      </c>
      <c r="K99" s="204">
        <f>TIR!I225</f>
        <v>0</v>
      </c>
      <c r="L99" s="204">
        <f>TIR!J225</f>
        <v>0</v>
      </c>
      <c r="M99" s="204">
        <f>TIR!K225</f>
        <v>0</v>
      </c>
      <c r="N99" s="215">
        <f>TIR!L225</f>
        <v>-7.5</v>
      </c>
      <c r="O99" s="215">
        <f>TIR!M225</f>
        <v>-1.73</v>
      </c>
    </row>
    <row r="100" spans="6:15" ht="13.9" customHeight="1" x14ac:dyDescent="0.25">
      <c r="F100" s="202">
        <f>TIR!D226</f>
        <v>47027</v>
      </c>
      <c r="G100" s="203">
        <f>TIR!U226</f>
        <v>0</v>
      </c>
      <c r="H100" s="203">
        <f>TIR!V226</f>
        <v>0</v>
      </c>
      <c r="I100" s="203">
        <f>TIR!W226</f>
        <v>0</v>
      </c>
      <c r="J100" s="204">
        <f>TIR!H226</f>
        <v>0</v>
      </c>
      <c r="K100" s="204">
        <f>TIR!I226</f>
        <v>0</v>
      </c>
      <c r="L100" s="204">
        <f>TIR!J226</f>
        <v>0</v>
      </c>
      <c r="M100" s="204">
        <f>TIR!K226</f>
        <v>0</v>
      </c>
      <c r="N100" s="215">
        <f>TIR!L226</f>
        <v>-7.5</v>
      </c>
      <c r="O100" s="215">
        <f>TIR!M226</f>
        <v>-1.73</v>
      </c>
    </row>
    <row r="101" spans="6:15" ht="13.9" customHeight="1" x14ac:dyDescent="0.25">
      <c r="F101" s="202">
        <f>TIR!D227</f>
        <v>47042</v>
      </c>
      <c r="G101" s="203">
        <f>TIR!U227</f>
        <v>0</v>
      </c>
      <c r="H101" s="203">
        <f>TIR!V227</f>
        <v>0</v>
      </c>
      <c r="I101" s="203">
        <f>TIR!W227</f>
        <v>0</v>
      </c>
      <c r="J101" s="204">
        <f>TIR!H227</f>
        <v>62.5</v>
      </c>
      <c r="K101" s="204">
        <f>TIR!I227</f>
        <v>-17.5</v>
      </c>
      <c r="L101" s="204">
        <f>TIR!J227</f>
        <v>-5</v>
      </c>
      <c r="M101" s="204">
        <f>TIR!K227</f>
        <v>-1.1499999999999999</v>
      </c>
      <c r="N101" s="215">
        <f>TIR!L227</f>
        <v>0</v>
      </c>
      <c r="O101" s="215">
        <f>TIR!M227</f>
        <v>0</v>
      </c>
    </row>
    <row r="102" spans="6:15" ht="13.9" customHeight="1" x14ac:dyDescent="0.25">
      <c r="F102" s="202">
        <f>TIR!D228</f>
        <v>47119</v>
      </c>
      <c r="G102" s="203">
        <f>TIR!U228</f>
        <v>0</v>
      </c>
      <c r="H102" s="203">
        <f>TIR!V228</f>
        <v>0</v>
      </c>
      <c r="I102" s="203">
        <f>TIR!W228</f>
        <v>0</v>
      </c>
      <c r="J102" s="204">
        <f>TIR!H228</f>
        <v>0</v>
      </c>
      <c r="K102" s="204">
        <f>TIR!I228</f>
        <v>0</v>
      </c>
      <c r="L102" s="204">
        <f>TIR!J228</f>
        <v>0</v>
      </c>
      <c r="M102" s="204">
        <f>TIR!K228</f>
        <v>0</v>
      </c>
      <c r="N102" s="215">
        <f>TIR!L228</f>
        <v>-7.5</v>
      </c>
      <c r="O102" s="215">
        <f>TIR!M228</f>
        <v>-1.73</v>
      </c>
    </row>
    <row r="103" spans="6:15" ht="13.9" customHeight="1" x14ac:dyDescent="0.25">
      <c r="F103" s="202">
        <f>TIR!D229</f>
        <v>47209</v>
      </c>
      <c r="G103" s="203">
        <f>TIR!U229</f>
        <v>0</v>
      </c>
      <c r="H103" s="203">
        <f>TIR!V229</f>
        <v>0</v>
      </c>
      <c r="I103" s="203">
        <f>TIR!W229</f>
        <v>0</v>
      </c>
      <c r="J103" s="204">
        <f>TIR!H229</f>
        <v>0</v>
      </c>
      <c r="K103" s="204">
        <f>TIR!I229</f>
        <v>0</v>
      </c>
      <c r="L103" s="204">
        <f>TIR!J229</f>
        <v>0</v>
      </c>
      <c r="M103" s="204">
        <f>TIR!K229</f>
        <v>0</v>
      </c>
      <c r="N103" s="215">
        <f>TIR!L229</f>
        <v>-7.5</v>
      </c>
      <c r="O103" s="215">
        <f>TIR!M229</f>
        <v>-1.73</v>
      </c>
    </row>
    <row r="104" spans="6:15" ht="13.9" customHeight="1" x14ac:dyDescent="0.25">
      <c r="F104" s="202">
        <f>TIR!D230</f>
        <v>47224</v>
      </c>
      <c r="G104" s="203">
        <f>TIR!U230</f>
        <v>0</v>
      </c>
      <c r="H104" s="203">
        <f>TIR!V230</f>
        <v>0</v>
      </c>
      <c r="I104" s="203">
        <f>TIR!W230</f>
        <v>0</v>
      </c>
      <c r="J104" s="204">
        <f>TIR!H230</f>
        <v>62.5</v>
      </c>
      <c r="K104" s="204">
        <f>TIR!I230</f>
        <v>-17.5</v>
      </c>
      <c r="L104" s="204">
        <f>TIR!J230</f>
        <v>-5</v>
      </c>
      <c r="M104" s="204">
        <f>TIR!K230</f>
        <v>-1.1499999999999999</v>
      </c>
      <c r="N104" s="215">
        <f>TIR!L230</f>
        <v>0</v>
      </c>
      <c r="O104" s="215">
        <f>TIR!M230</f>
        <v>0</v>
      </c>
    </row>
    <row r="105" spans="6:15" ht="13.9" customHeight="1" x14ac:dyDescent="0.25">
      <c r="F105" s="202">
        <f>TIR!D231</f>
        <v>47300</v>
      </c>
      <c r="G105" s="203">
        <f>TIR!U231</f>
        <v>0</v>
      </c>
      <c r="H105" s="203">
        <f>TIR!V231</f>
        <v>0</v>
      </c>
      <c r="I105" s="203">
        <f>TIR!W231</f>
        <v>0</v>
      </c>
      <c r="J105" s="204">
        <f>TIR!H231</f>
        <v>0</v>
      </c>
      <c r="K105" s="204">
        <f>TIR!I231</f>
        <v>0</v>
      </c>
      <c r="L105" s="204">
        <f>TIR!J231</f>
        <v>0</v>
      </c>
      <c r="M105" s="204">
        <f>TIR!K231</f>
        <v>0</v>
      </c>
      <c r="N105" s="215">
        <f>TIR!L231</f>
        <v>-7.5</v>
      </c>
      <c r="O105" s="215">
        <f>TIR!M231</f>
        <v>-1.73</v>
      </c>
    </row>
    <row r="106" spans="6:15" ht="13.9" customHeight="1" x14ac:dyDescent="0.25">
      <c r="F106" s="202">
        <f>TIR!D232</f>
        <v>47392</v>
      </c>
      <c r="G106" s="203">
        <f>TIR!U232</f>
        <v>0</v>
      </c>
      <c r="H106" s="203">
        <f>TIR!V232</f>
        <v>0</v>
      </c>
      <c r="I106" s="203">
        <f>TIR!W232</f>
        <v>0</v>
      </c>
      <c r="J106" s="204">
        <f>TIR!H232</f>
        <v>0</v>
      </c>
      <c r="K106" s="204">
        <f>TIR!I232</f>
        <v>0</v>
      </c>
      <c r="L106" s="204">
        <f>TIR!J232</f>
        <v>0</v>
      </c>
      <c r="M106" s="204">
        <f>TIR!K232</f>
        <v>0</v>
      </c>
      <c r="N106" s="215">
        <f>TIR!L232</f>
        <v>-7.5</v>
      </c>
      <c r="O106" s="215">
        <f>TIR!M232</f>
        <v>-1.73</v>
      </c>
    </row>
    <row r="107" spans="6:15" x14ac:dyDescent="0.25">
      <c r="F107" s="202">
        <f>TIR!D233</f>
        <v>47407</v>
      </c>
      <c r="G107" s="203">
        <f>TIR!U233</f>
        <v>2500</v>
      </c>
      <c r="H107" s="203">
        <f>TIR!V233</f>
        <v>-12.5</v>
      </c>
      <c r="I107" s="203">
        <f>TIR!W233</f>
        <v>-2.88</v>
      </c>
      <c r="J107" s="204">
        <f>TIR!H233</f>
        <v>62.5</v>
      </c>
      <c r="K107" s="204">
        <f>TIR!I233</f>
        <v>-17.5</v>
      </c>
      <c r="L107" s="204">
        <f>TIR!J233</f>
        <v>-5</v>
      </c>
      <c r="M107" s="204">
        <f>TIR!K233</f>
        <v>-1.1499999999999999</v>
      </c>
      <c r="N107" s="215">
        <f>TIR!L233</f>
        <v>0</v>
      </c>
      <c r="O107" s="215">
        <f>TIR!M233</f>
        <v>0</v>
      </c>
    </row>
    <row r="108" spans="6:15" ht="13.9" customHeight="1" x14ac:dyDescent="0.25">
      <c r="F108" s="202" t="str">
        <f>TIR!D234</f>
        <v/>
      </c>
      <c r="G108" s="203" t="str">
        <f>TIR!U234</f>
        <v/>
      </c>
      <c r="H108" s="203" t="str">
        <f>TIR!V234</f>
        <v/>
      </c>
      <c r="I108" s="203" t="str">
        <f>TIR!W234</f>
        <v/>
      </c>
      <c r="J108" s="204" t="str">
        <f>TIR!H234</f>
        <v/>
      </c>
      <c r="K108" s="204" t="str">
        <f>TIR!I234</f>
        <v/>
      </c>
      <c r="L108" s="204" t="str">
        <f>TIR!J234</f>
        <v/>
      </c>
      <c r="M108" s="204" t="str">
        <f>TIR!K234</f>
        <v/>
      </c>
      <c r="N108" s="215" t="str">
        <f>TIR!L234</f>
        <v/>
      </c>
      <c r="O108" s="215" t="str">
        <f>TIR!M234</f>
        <v/>
      </c>
    </row>
    <row r="109" spans="6:15" ht="13.9" customHeight="1" x14ac:dyDescent="0.25">
      <c r="F109" s="202" t="str">
        <f>TIR!D235</f>
        <v/>
      </c>
      <c r="G109" s="203" t="str">
        <f>TIR!U235</f>
        <v/>
      </c>
      <c r="H109" s="203" t="str">
        <f>TIR!V235</f>
        <v/>
      </c>
      <c r="I109" s="203" t="str">
        <f>TIR!W235</f>
        <v/>
      </c>
      <c r="J109" s="204" t="str">
        <f>TIR!H235</f>
        <v/>
      </c>
      <c r="K109" s="204" t="str">
        <f>TIR!I235</f>
        <v/>
      </c>
      <c r="L109" s="204" t="str">
        <f>TIR!J235</f>
        <v/>
      </c>
      <c r="M109" s="204" t="str">
        <f>TIR!K235</f>
        <v/>
      </c>
      <c r="N109" s="215" t="str">
        <f>TIR!L235</f>
        <v/>
      </c>
      <c r="O109" s="215" t="str">
        <f>TIR!M235</f>
        <v/>
      </c>
    </row>
    <row r="110" spans="6:15" ht="13.9" customHeight="1" x14ac:dyDescent="0.25">
      <c r="F110" s="202" t="str">
        <f>TIR!D236</f>
        <v/>
      </c>
      <c r="G110" s="203" t="str">
        <f>TIR!U236</f>
        <v/>
      </c>
      <c r="H110" s="203" t="str">
        <f>TIR!V236</f>
        <v/>
      </c>
      <c r="I110" s="203" t="str">
        <f>TIR!W236</f>
        <v/>
      </c>
      <c r="J110" s="204" t="str">
        <f>TIR!H236</f>
        <v/>
      </c>
      <c r="K110" s="204" t="str">
        <f>TIR!I236</f>
        <v/>
      </c>
      <c r="L110" s="204" t="str">
        <f>TIR!J236</f>
        <v/>
      </c>
      <c r="M110" s="204" t="str">
        <f>TIR!K236</f>
        <v/>
      </c>
      <c r="N110" s="215" t="str">
        <f>TIR!L236</f>
        <v/>
      </c>
      <c r="O110" s="215" t="str">
        <f>TIR!M236</f>
        <v/>
      </c>
    </row>
    <row r="111" spans="6:15" ht="13.9" customHeight="1" x14ac:dyDescent="0.25">
      <c r="F111" s="202" t="str">
        <f>TIR!D237</f>
        <v/>
      </c>
      <c r="G111" s="203" t="str">
        <f>TIR!U237</f>
        <v/>
      </c>
      <c r="H111" s="203" t="str">
        <f>TIR!V237</f>
        <v/>
      </c>
      <c r="I111" s="203" t="str">
        <f>TIR!W237</f>
        <v/>
      </c>
      <c r="J111" s="204" t="str">
        <f>TIR!H237</f>
        <v/>
      </c>
      <c r="K111" s="204" t="str">
        <f>TIR!I237</f>
        <v/>
      </c>
      <c r="L111" s="204" t="str">
        <f>TIR!J237</f>
        <v/>
      </c>
      <c r="M111" s="204" t="str">
        <f>TIR!K237</f>
        <v/>
      </c>
      <c r="N111" s="215" t="str">
        <f>TIR!L237</f>
        <v/>
      </c>
      <c r="O111" s="215" t="str">
        <f>TIR!M237</f>
        <v/>
      </c>
    </row>
    <row r="112" spans="6:15" ht="13.9" customHeight="1" x14ac:dyDescent="0.25">
      <c r="F112" s="202" t="str">
        <f>TIR!D238</f>
        <v/>
      </c>
      <c r="G112" s="203" t="str">
        <f>TIR!U238</f>
        <v/>
      </c>
      <c r="H112" s="203" t="str">
        <f>TIR!V238</f>
        <v/>
      </c>
      <c r="I112" s="203" t="str">
        <f>TIR!W238</f>
        <v/>
      </c>
      <c r="J112" s="204" t="str">
        <f>TIR!H238</f>
        <v/>
      </c>
      <c r="K112" s="204" t="str">
        <f>TIR!I238</f>
        <v/>
      </c>
      <c r="L112" s="204" t="str">
        <f>TIR!J238</f>
        <v/>
      </c>
      <c r="M112" s="204" t="str">
        <f>TIR!K238</f>
        <v/>
      </c>
      <c r="N112" s="215" t="str">
        <f>TIR!L238</f>
        <v/>
      </c>
      <c r="O112" s="215" t="str">
        <f>TIR!M238</f>
        <v/>
      </c>
    </row>
    <row r="113" spans="6:15" ht="13.9" customHeight="1" x14ac:dyDescent="0.25">
      <c r="F113" s="202" t="str">
        <f>TIR!D239</f>
        <v/>
      </c>
      <c r="G113" s="203" t="str">
        <f>TIR!U239</f>
        <v/>
      </c>
      <c r="H113" s="203" t="str">
        <f>TIR!V239</f>
        <v/>
      </c>
      <c r="I113" s="203" t="str">
        <f>TIR!W239</f>
        <v/>
      </c>
      <c r="J113" s="204" t="str">
        <f>TIR!H239</f>
        <v/>
      </c>
      <c r="K113" s="204" t="str">
        <f>TIR!I239</f>
        <v/>
      </c>
      <c r="L113" s="204" t="str">
        <f>TIR!J239</f>
        <v/>
      </c>
      <c r="M113" s="204" t="str">
        <f>TIR!K239</f>
        <v/>
      </c>
      <c r="N113" s="215" t="str">
        <f>TIR!L239</f>
        <v/>
      </c>
      <c r="O113" s="215" t="str">
        <f>TIR!M239</f>
        <v/>
      </c>
    </row>
    <row r="114" spans="6:15" ht="13.9" customHeight="1" x14ac:dyDescent="0.25">
      <c r="F114" s="202" t="str">
        <f>TIR!D240</f>
        <v/>
      </c>
      <c r="G114" s="203" t="str">
        <f>TIR!U240</f>
        <v/>
      </c>
      <c r="H114" s="203" t="str">
        <f>TIR!V240</f>
        <v/>
      </c>
      <c r="I114" s="203" t="str">
        <f>TIR!W240</f>
        <v/>
      </c>
      <c r="J114" s="204" t="str">
        <f>TIR!H240</f>
        <v/>
      </c>
      <c r="K114" s="204" t="str">
        <f>TIR!I240</f>
        <v/>
      </c>
      <c r="L114" s="204" t="str">
        <f>TIR!J240</f>
        <v/>
      </c>
      <c r="M114" s="204" t="str">
        <f>TIR!K240</f>
        <v/>
      </c>
      <c r="N114" s="215" t="str">
        <f>TIR!L240</f>
        <v/>
      </c>
      <c r="O114" s="215" t="str">
        <f>TIR!M240</f>
        <v/>
      </c>
    </row>
    <row r="115" spans="6:15" ht="13.9" customHeight="1" x14ac:dyDescent="0.25">
      <c r="F115" s="202" t="str">
        <f>TIR!D241</f>
        <v/>
      </c>
      <c r="G115" s="203" t="str">
        <f>TIR!U241</f>
        <v/>
      </c>
      <c r="H115" s="203" t="str">
        <f>TIR!V241</f>
        <v/>
      </c>
      <c r="I115" s="203" t="str">
        <f>TIR!W241</f>
        <v/>
      </c>
      <c r="J115" s="204" t="str">
        <f>TIR!H241</f>
        <v/>
      </c>
      <c r="K115" s="204" t="str">
        <f>TIR!I241</f>
        <v/>
      </c>
      <c r="L115" s="204" t="str">
        <f>TIR!J241</f>
        <v/>
      </c>
      <c r="M115" s="204" t="str">
        <f>TIR!K241</f>
        <v/>
      </c>
      <c r="N115" s="215" t="str">
        <f>TIR!L241</f>
        <v/>
      </c>
      <c r="O115" s="215" t="str">
        <f>TIR!M241</f>
        <v/>
      </c>
    </row>
    <row r="116" spans="6:15" ht="13.9" customHeight="1" x14ac:dyDescent="0.25">
      <c r="F116" s="202" t="str">
        <f>TIR!D242</f>
        <v/>
      </c>
      <c r="G116" s="203" t="str">
        <f>TIR!U242</f>
        <v/>
      </c>
      <c r="H116" s="203" t="str">
        <f>TIR!V242</f>
        <v/>
      </c>
      <c r="I116" s="203" t="str">
        <f>TIR!W242</f>
        <v/>
      </c>
      <c r="J116" s="204" t="str">
        <f>TIR!H242</f>
        <v/>
      </c>
      <c r="K116" s="204" t="str">
        <f>TIR!I242</f>
        <v/>
      </c>
      <c r="L116" s="204" t="str">
        <f>TIR!J242</f>
        <v/>
      </c>
      <c r="M116" s="204" t="str">
        <f>TIR!K242</f>
        <v/>
      </c>
      <c r="N116" s="215" t="str">
        <f>TIR!L242</f>
        <v/>
      </c>
      <c r="O116" s="215" t="str">
        <f>TIR!M242</f>
        <v/>
      </c>
    </row>
    <row r="117" spans="6:15" ht="13.9" customHeight="1" x14ac:dyDescent="0.25">
      <c r="F117" s="202" t="str">
        <f>TIR!D243</f>
        <v/>
      </c>
      <c r="G117" s="203" t="str">
        <f>TIR!U243</f>
        <v/>
      </c>
      <c r="H117" s="203" t="str">
        <f>TIR!V243</f>
        <v/>
      </c>
      <c r="I117" s="203" t="str">
        <f>TIR!W243</f>
        <v/>
      </c>
      <c r="J117" s="204" t="str">
        <f>TIR!H243</f>
        <v/>
      </c>
      <c r="K117" s="204" t="str">
        <f>TIR!I243</f>
        <v/>
      </c>
      <c r="L117" s="204" t="str">
        <f>TIR!J243</f>
        <v/>
      </c>
      <c r="M117" s="204" t="str">
        <f>TIR!K243</f>
        <v/>
      </c>
      <c r="N117" s="215" t="str">
        <f>TIR!L243</f>
        <v/>
      </c>
      <c r="O117" s="215" t="str">
        <f>TIR!M243</f>
        <v/>
      </c>
    </row>
    <row r="118" spans="6:15" ht="13.9" customHeight="1" x14ac:dyDescent="0.25">
      <c r="F118" s="202" t="str">
        <f>TIR!D244</f>
        <v/>
      </c>
      <c r="G118" s="203" t="str">
        <f>TIR!U244</f>
        <v/>
      </c>
      <c r="H118" s="203" t="str">
        <f>TIR!V244</f>
        <v/>
      </c>
      <c r="I118" s="203" t="str">
        <f>TIR!W244</f>
        <v/>
      </c>
      <c r="J118" s="204" t="str">
        <f>TIR!H244</f>
        <v/>
      </c>
      <c r="K118" s="204" t="str">
        <f>TIR!I244</f>
        <v/>
      </c>
      <c r="L118" s="204" t="str">
        <f>TIR!J244</f>
        <v/>
      </c>
      <c r="M118" s="204" t="str">
        <f>TIR!K244</f>
        <v/>
      </c>
      <c r="N118" s="215" t="str">
        <f>TIR!L244</f>
        <v/>
      </c>
      <c r="O118" s="215" t="str">
        <f>TIR!M244</f>
        <v/>
      </c>
    </row>
    <row r="119" spans="6:15" ht="13.9" customHeight="1" x14ac:dyDescent="0.25">
      <c r="F119" s="202" t="str">
        <f>TIR!D245</f>
        <v/>
      </c>
      <c r="G119" s="203" t="str">
        <f>TIR!U245</f>
        <v/>
      </c>
      <c r="H119" s="203" t="str">
        <f>TIR!V245</f>
        <v/>
      </c>
      <c r="I119" s="203" t="str">
        <f>TIR!W245</f>
        <v/>
      </c>
      <c r="J119" s="204" t="str">
        <f>TIR!H245</f>
        <v/>
      </c>
      <c r="K119" s="204" t="str">
        <f>TIR!I245</f>
        <v/>
      </c>
      <c r="L119" s="204" t="str">
        <f>TIR!J245</f>
        <v/>
      </c>
      <c r="M119" s="204" t="str">
        <f>TIR!K245</f>
        <v/>
      </c>
      <c r="N119" s="215" t="str">
        <f>TIR!L245</f>
        <v/>
      </c>
      <c r="O119" s="215" t="str">
        <f>TIR!M245</f>
        <v/>
      </c>
    </row>
    <row r="120" spans="6:15" ht="13.9" customHeight="1" x14ac:dyDescent="0.25">
      <c r="F120" s="202" t="str">
        <f>TIR!D246</f>
        <v/>
      </c>
      <c r="G120" s="203" t="str">
        <f>TIR!U246</f>
        <v/>
      </c>
      <c r="H120" s="203" t="str">
        <f>TIR!V246</f>
        <v/>
      </c>
      <c r="I120" s="203" t="str">
        <f>TIR!W246</f>
        <v/>
      </c>
      <c r="J120" s="204" t="str">
        <f>TIR!H246</f>
        <v/>
      </c>
      <c r="K120" s="204" t="str">
        <f>TIR!I246</f>
        <v/>
      </c>
      <c r="L120" s="204" t="str">
        <f>TIR!J246</f>
        <v/>
      </c>
      <c r="M120" s="204" t="str">
        <f>TIR!K246</f>
        <v/>
      </c>
      <c r="N120" s="215" t="str">
        <f>TIR!L246</f>
        <v/>
      </c>
      <c r="O120" s="215" t="str">
        <f>TIR!M246</f>
        <v/>
      </c>
    </row>
    <row r="121" spans="6:15" ht="13.9" customHeight="1" x14ac:dyDescent="0.25">
      <c r="F121" s="207" t="s">
        <v>251</v>
      </c>
      <c r="G121" s="208">
        <f t="shared" ref="G121:O121" si="0">SUM(G77:G120)</f>
        <v>0</v>
      </c>
      <c r="H121" s="208">
        <f t="shared" si="0"/>
        <v>-25</v>
      </c>
      <c r="I121" s="208">
        <f t="shared" si="0"/>
        <v>-3.38</v>
      </c>
      <c r="J121" s="209">
        <f t="shared" si="0"/>
        <v>625</v>
      </c>
      <c r="K121" s="209">
        <f t="shared" si="0"/>
        <v>-175</v>
      </c>
      <c r="L121" s="209">
        <f t="shared" si="0"/>
        <v>-50</v>
      </c>
      <c r="M121" s="209">
        <f t="shared" si="0"/>
        <v>-11.500000000000002</v>
      </c>
      <c r="N121" s="210">
        <f t="shared" si="0"/>
        <v>-150</v>
      </c>
      <c r="O121" s="210">
        <f t="shared" si="0"/>
        <v>-34.6</v>
      </c>
    </row>
    <row r="122" spans="6:15" ht="13.9" customHeight="1" x14ac:dyDescent="0.25">
      <c r="K122" s="62"/>
      <c r="L122" s="62"/>
      <c r="M122" s="62"/>
      <c r="N122" s="62"/>
      <c r="O122" s="62"/>
    </row>
    <row r="123" spans="6:15" ht="13.9" customHeight="1" x14ac:dyDescent="0.25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35">
      <c r="F124" s="360" t="str">
        <f>K25</f>
        <v>Juro Bruto até à maturidade:</v>
      </c>
      <c r="G124" s="360"/>
      <c r="H124" s="360"/>
      <c r="I124" s="206">
        <f>M25</f>
        <v>625</v>
      </c>
      <c r="K124" s="360" t="str">
        <f>K33</f>
        <v>Rendimento Liq. até maturidade:</v>
      </c>
      <c r="L124" s="360"/>
      <c r="M124" s="360"/>
      <c r="N124" s="206">
        <f>SUM(G121:O121)</f>
        <v>175.52</v>
      </c>
      <c r="O124" s="205" t="str">
        <f>IF(N124=M33,"OK","Atenção")</f>
        <v>Atenção</v>
      </c>
    </row>
    <row r="125" spans="6:15" ht="13.9" customHeight="1" x14ac:dyDescent="0.25">
      <c r="F125" s="64"/>
      <c r="G125" s="64"/>
      <c r="H125" s="64"/>
      <c r="I125" s="64"/>
    </row>
    <row r="126" spans="6:15" ht="13.9" customHeight="1" x14ac:dyDescent="0.25">
      <c r="F126" s="64"/>
      <c r="G126" s="64"/>
      <c r="H126" s="64"/>
      <c r="I126" s="64"/>
    </row>
    <row r="127" spans="6:15" ht="13.9" customHeight="1" x14ac:dyDescent="0.25">
      <c r="F127" s="64"/>
      <c r="G127" s="64"/>
      <c r="H127" s="64"/>
      <c r="I127" s="64"/>
    </row>
    <row r="128" spans="6:15" ht="13.9" customHeight="1" x14ac:dyDescent="0.25">
      <c r="F128" s="64"/>
      <c r="G128" s="64"/>
      <c r="H128" s="64"/>
      <c r="I128" s="64"/>
    </row>
    <row r="129" spans="5:25" x14ac:dyDescent="0.25">
      <c r="F129" s="1"/>
      <c r="G129" s="1"/>
      <c r="H129" s="1"/>
      <c r="I129" s="1"/>
    </row>
    <row r="130" spans="5:25" ht="7.5" customHeight="1" x14ac:dyDescent="0.25">
      <c r="F130" s="64"/>
      <c r="G130" s="64"/>
      <c r="H130" s="64"/>
      <c r="I130" s="64"/>
    </row>
    <row r="131" spans="5:25" s="61" customFormat="1" ht="15.75" x14ac:dyDescent="0.25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25">
      <c r="F132" s="1"/>
      <c r="G132" s="64"/>
      <c r="H132" s="1"/>
      <c r="I132" s="1"/>
    </row>
    <row r="133" spans="5:25" x14ac:dyDescent="0.25">
      <c r="F133" s="1"/>
      <c r="G133" s="64"/>
      <c r="H133" s="1"/>
      <c r="I133" s="1"/>
    </row>
    <row r="134" spans="5:25" x14ac:dyDescent="0.25">
      <c r="F134" s="1"/>
      <c r="G134" s="64"/>
      <c r="H134" s="1"/>
      <c r="I134" s="1"/>
    </row>
    <row r="135" spans="5:25" ht="15" customHeight="1" x14ac:dyDescent="0.25">
      <c r="F135" s="1"/>
      <c r="G135" s="64"/>
      <c r="H135" s="1"/>
      <c r="I135" s="1"/>
    </row>
    <row r="144" spans="5:25" ht="20.25" customHeight="1" x14ac:dyDescent="0.25"/>
    <row r="198" spans="6:33" ht="28.9" customHeight="1" x14ac:dyDescent="0.25">
      <c r="F198" s="387"/>
      <c r="G198" s="387"/>
      <c r="H198" s="387"/>
      <c r="I198" s="387"/>
      <c r="J198" s="387"/>
      <c r="K198" s="387"/>
      <c r="L198" s="387"/>
      <c r="M198" s="387"/>
      <c r="N198" s="387"/>
    </row>
    <row r="199" spans="6:33" ht="43.15" customHeight="1" x14ac:dyDescent="0.25">
      <c r="F199" s="387"/>
      <c r="G199" s="387"/>
      <c r="H199" s="387"/>
      <c r="I199" s="387"/>
      <c r="J199" s="387"/>
      <c r="K199" s="387"/>
      <c r="L199" s="387"/>
      <c r="M199" s="387"/>
      <c r="N199" s="387"/>
    </row>
    <row r="200" spans="6:33" x14ac:dyDescent="0.25">
      <c r="F200" s="388"/>
      <c r="G200" s="388"/>
      <c r="H200" s="388"/>
      <c r="I200" s="388"/>
      <c r="J200" s="388"/>
      <c r="K200" s="388"/>
      <c r="L200" s="388"/>
      <c r="M200" s="388"/>
      <c r="N200" s="388"/>
      <c r="AA200" s="266" t="s">
        <v>351</v>
      </c>
      <c r="AB200" s="266" t="s">
        <v>348</v>
      </c>
      <c r="AC200" s="266" t="s">
        <v>352</v>
      </c>
      <c r="AD200" s="266" t="s">
        <v>349</v>
      </c>
      <c r="AE200" s="266" t="s">
        <v>353</v>
      </c>
      <c r="AF200" s="266" t="s">
        <v>350</v>
      </c>
      <c r="AG200" s="81" t="s">
        <v>253</v>
      </c>
    </row>
    <row r="201" spans="6:33" x14ac:dyDescent="0.25">
      <c r="AA201" s="82" t="s">
        <v>399</v>
      </c>
      <c r="AB201" s="82">
        <v>40001624091</v>
      </c>
      <c r="AC201" s="82">
        <v>187154074</v>
      </c>
      <c r="AD201" s="82">
        <v>39506</v>
      </c>
      <c r="AE201" s="273">
        <v>2500</v>
      </c>
      <c r="AF201" s="82" t="s">
        <v>400</v>
      </c>
      <c r="AG201" s="82" t="s">
        <v>49</v>
      </c>
    </row>
    <row r="202" spans="6:33" x14ac:dyDescent="0.25">
      <c r="AA202" s="82" t="s">
        <v>401</v>
      </c>
      <c r="AB202" s="82">
        <v>40001631087</v>
      </c>
      <c r="AC202" s="82">
        <v>192254006</v>
      </c>
      <c r="AD202" s="82">
        <v>11351</v>
      </c>
      <c r="AE202" s="273">
        <v>1500</v>
      </c>
      <c r="AF202" s="82" t="s">
        <v>400</v>
      </c>
      <c r="AG202" s="82" t="s">
        <v>49</v>
      </c>
    </row>
    <row r="203" spans="6:33" x14ac:dyDescent="0.25">
      <c r="AA203" s="82" t="s">
        <v>402</v>
      </c>
      <c r="AB203" s="82">
        <v>40027280741</v>
      </c>
      <c r="AC203" s="82">
        <v>154508357</v>
      </c>
      <c r="AD203" s="82">
        <v>427513</v>
      </c>
      <c r="AE203" s="273">
        <v>7000</v>
      </c>
      <c r="AF203" s="82" t="s">
        <v>400</v>
      </c>
      <c r="AG203" s="82" t="s">
        <v>49</v>
      </c>
    </row>
    <row r="204" spans="6:33" x14ac:dyDescent="0.25">
      <c r="AA204" s="82" t="s">
        <v>403</v>
      </c>
      <c r="AB204" s="82">
        <v>40042178675</v>
      </c>
      <c r="AC204" s="82">
        <v>120747227</v>
      </c>
      <c r="AD204" s="82">
        <v>39298</v>
      </c>
      <c r="AE204" s="273">
        <v>2500</v>
      </c>
      <c r="AF204" s="82" t="s">
        <v>400</v>
      </c>
      <c r="AG204" s="82" t="s">
        <v>49</v>
      </c>
    </row>
    <row r="205" spans="6:33" x14ac:dyDescent="0.25">
      <c r="AA205" s="82" t="s">
        <v>404</v>
      </c>
      <c r="AB205" s="82">
        <v>40049714062</v>
      </c>
      <c r="AC205" s="82">
        <v>219349304</v>
      </c>
      <c r="AD205" s="82">
        <v>769946</v>
      </c>
      <c r="AE205" s="273">
        <v>5000</v>
      </c>
      <c r="AF205" s="82" t="s">
        <v>400</v>
      </c>
      <c r="AG205" s="82" t="s">
        <v>49</v>
      </c>
    </row>
    <row r="206" spans="6:33" x14ac:dyDescent="0.25">
      <c r="AA206" s="82" t="s">
        <v>405</v>
      </c>
      <c r="AB206" s="82">
        <v>40049714062</v>
      </c>
      <c r="AC206" s="82">
        <v>206440928</v>
      </c>
      <c r="AD206" s="82">
        <v>768230</v>
      </c>
      <c r="AE206" s="273">
        <v>5000</v>
      </c>
      <c r="AF206" s="82" t="s">
        <v>400</v>
      </c>
      <c r="AG206" s="82" t="s">
        <v>49</v>
      </c>
    </row>
    <row r="207" spans="6:33" x14ac:dyDescent="0.25">
      <c r="AA207" s="82" t="s">
        <v>406</v>
      </c>
      <c r="AB207" s="82">
        <v>40053550498</v>
      </c>
      <c r="AC207" s="82">
        <v>135667569</v>
      </c>
      <c r="AD207" s="82">
        <v>837313</v>
      </c>
      <c r="AE207" s="273">
        <v>1000</v>
      </c>
      <c r="AF207" s="82" t="s">
        <v>400</v>
      </c>
      <c r="AG207" s="82" t="s">
        <v>49</v>
      </c>
    </row>
    <row r="208" spans="6:33" x14ac:dyDescent="0.25">
      <c r="AA208" s="82" t="s">
        <v>407</v>
      </c>
      <c r="AB208" s="82">
        <v>40053550498</v>
      </c>
      <c r="AC208" s="82">
        <v>166702463</v>
      </c>
      <c r="AD208" s="82">
        <v>834801</v>
      </c>
      <c r="AE208" s="273">
        <v>1000</v>
      </c>
      <c r="AF208" s="82" t="s">
        <v>400</v>
      </c>
      <c r="AG208" s="82" t="s">
        <v>49</v>
      </c>
    </row>
    <row r="209" spans="27:33" x14ac:dyDescent="0.25">
      <c r="AA209" s="82" t="s">
        <v>407</v>
      </c>
      <c r="AB209" s="82">
        <v>40053836959</v>
      </c>
      <c r="AC209" s="82">
        <v>166702463</v>
      </c>
      <c r="AD209" s="82">
        <v>834801</v>
      </c>
      <c r="AE209" s="273">
        <v>2500</v>
      </c>
      <c r="AF209" s="82" t="s">
        <v>400</v>
      </c>
      <c r="AG209" s="82" t="s">
        <v>49</v>
      </c>
    </row>
    <row r="210" spans="27:33" x14ac:dyDescent="0.25">
      <c r="AA210" s="82" t="s">
        <v>408</v>
      </c>
      <c r="AB210" s="82">
        <v>40066705361</v>
      </c>
      <c r="AC210" s="82">
        <v>143378139</v>
      </c>
      <c r="AD210" s="82">
        <v>1885899</v>
      </c>
      <c r="AE210" s="273">
        <v>2500</v>
      </c>
      <c r="AF210" s="82" t="s">
        <v>400</v>
      </c>
      <c r="AG210" s="82" t="s">
        <v>49</v>
      </c>
    </row>
    <row r="211" spans="27:33" x14ac:dyDescent="0.25">
      <c r="AA211" s="82" t="s">
        <v>409</v>
      </c>
      <c r="AB211" s="82">
        <v>40072542132</v>
      </c>
      <c r="AC211" s="82">
        <v>124091431</v>
      </c>
      <c r="AD211" s="82">
        <v>1110067</v>
      </c>
      <c r="AE211" s="273">
        <v>3750</v>
      </c>
      <c r="AF211" s="82" t="s">
        <v>400</v>
      </c>
      <c r="AG211" s="82" t="s">
        <v>49</v>
      </c>
    </row>
    <row r="212" spans="27:33" x14ac:dyDescent="0.25">
      <c r="AA212" s="82" t="s">
        <v>410</v>
      </c>
      <c r="AB212" s="82">
        <v>40093399364</v>
      </c>
      <c r="AC212" s="82">
        <v>151270686</v>
      </c>
      <c r="AD212" s="82">
        <v>1429769</v>
      </c>
      <c r="AE212" s="273">
        <v>2500</v>
      </c>
      <c r="AF212" s="82" t="s">
        <v>400</v>
      </c>
      <c r="AG212" s="82" t="s">
        <v>49</v>
      </c>
    </row>
    <row r="213" spans="27:33" x14ac:dyDescent="0.25">
      <c r="AA213" s="82" t="s">
        <v>411</v>
      </c>
      <c r="AB213" s="82">
        <v>40108908623</v>
      </c>
      <c r="AC213" s="82">
        <v>214806880</v>
      </c>
      <c r="AD213" s="82">
        <v>2715612</v>
      </c>
      <c r="AE213" s="273">
        <v>750</v>
      </c>
      <c r="AF213" s="82" t="s">
        <v>400</v>
      </c>
      <c r="AG213" s="82" t="s">
        <v>49</v>
      </c>
    </row>
    <row r="214" spans="27:33" x14ac:dyDescent="0.25">
      <c r="AA214" s="82" t="s">
        <v>412</v>
      </c>
      <c r="AB214" s="82">
        <v>40119749897</v>
      </c>
      <c r="AC214" s="82">
        <v>187700990</v>
      </c>
      <c r="AD214" s="82">
        <v>1818428</v>
      </c>
      <c r="AE214" s="273">
        <v>1250</v>
      </c>
      <c r="AF214" s="82" t="s">
        <v>400</v>
      </c>
      <c r="AG214" s="82" t="s">
        <v>49</v>
      </c>
    </row>
    <row r="215" spans="27:33" x14ac:dyDescent="0.25">
      <c r="AA215" s="82" t="s">
        <v>413</v>
      </c>
      <c r="AB215" s="82">
        <v>40181207015</v>
      </c>
      <c r="AC215" s="82">
        <v>168664593</v>
      </c>
      <c r="AD215" s="82">
        <v>2643568</v>
      </c>
      <c r="AE215" s="273">
        <v>2500</v>
      </c>
      <c r="AF215" s="82" t="s">
        <v>400</v>
      </c>
      <c r="AG215" s="82" t="s">
        <v>49</v>
      </c>
    </row>
    <row r="216" spans="27:33" x14ac:dyDescent="0.25">
      <c r="AA216" s="82" t="s">
        <v>414</v>
      </c>
      <c r="AB216" s="82">
        <v>40203972915</v>
      </c>
      <c r="AC216" s="82">
        <v>205024467</v>
      </c>
      <c r="AD216" s="82">
        <v>2821815</v>
      </c>
      <c r="AE216" s="273">
        <v>2500</v>
      </c>
      <c r="AF216" s="82" t="s">
        <v>400</v>
      </c>
      <c r="AG216" s="82" t="s">
        <v>49</v>
      </c>
    </row>
    <row r="217" spans="27:33" x14ac:dyDescent="0.25">
      <c r="AA217" s="82" t="s">
        <v>415</v>
      </c>
      <c r="AB217" s="82">
        <v>40212507177</v>
      </c>
      <c r="AC217" s="82">
        <v>219583439</v>
      </c>
      <c r="AD217" s="82">
        <v>3008348</v>
      </c>
      <c r="AE217" s="273">
        <v>2500</v>
      </c>
      <c r="AF217" s="82" t="s">
        <v>400</v>
      </c>
      <c r="AG217" s="82" t="s">
        <v>49</v>
      </c>
    </row>
    <row r="218" spans="27:33" x14ac:dyDescent="0.25">
      <c r="AA218" s="82" t="s">
        <v>416</v>
      </c>
      <c r="AB218" s="82">
        <v>40231274520</v>
      </c>
      <c r="AC218" s="82">
        <v>148123449</v>
      </c>
      <c r="AD218" s="82">
        <v>3204885</v>
      </c>
      <c r="AE218" s="273">
        <v>5000</v>
      </c>
      <c r="AF218" s="82" t="s">
        <v>400</v>
      </c>
      <c r="AG218" s="82" t="s">
        <v>49</v>
      </c>
    </row>
    <row r="219" spans="27:33" x14ac:dyDescent="0.25">
      <c r="AA219" s="82" t="s">
        <v>417</v>
      </c>
      <c r="AB219" s="82">
        <v>40271840317</v>
      </c>
      <c r="AC219" s="82">
        <v>180261410</v>
      </c>
      <c r="AD219" s="82">
        <v>3599927</v>
      </c>
      <c r="AE219" s="273">
        <v>2500</v>
      </c>
      <c r="AF219" s="82" t="s">
        <v>400</v>
      </c>
      <c r="AG219" s="82" t="s">
        <v>49</v>
      </c>
    </row>
    <row r="220" spans="27:33" x14ac:dyDescent="0.25">
      <c r="AA220" s="82" t="s">
        <v>418</v>
      </c>
      <c r="AB220" s="82">
        <v>40280137315</v>
      </c>
      <c r="AC220" s="82">
        <v>296360457</v>
      </c>
      <c r="AD220" s="82">
        <v>3952220</v>
      </c>
      <c r="AE220" s="273">
        <v>2000</v>
      </c>
      <c r="AF220" s="82" t="s">
        <v>400</v>
      </c>
      <c r="AG220" s="82" t="s">
        <v>49</v>
      </c>
    </row>
    <row r="221" spans="27:33" x14ac:dyDescent="0.25">
      <c r="AA221" s="82" t="s">
        <v>419</v>
      </c>
      <c r="AB221" s="82">
        <v>40282599774</v>
      </c>
      <c r="AC221" s="82">
        <v>158849710</v>
      </c>
      <c r="AD221" s="82">
        <v>3831116</v>
      </c>
      <c r="AE221" s="273">
        <v>19000</v>
      </c>
      <c r="AF221" s="82" t="s">
        <v>400</v>
      </c>
      <c r="AG221" s="82" t="s">
        <v>49</v>
      </c>
    </row>
    <row r="222" spans="27:33" x14ac:dyDescent="0.25">
      <c r="AA222" s="82" t="s">
        <v>420</v>
      </c>
      <c r="AB222" s="82">
        <v>40287067010</v>
      </c>
      <c r="AC222" s="82">
        <v>232187711</v>
      </c>
      <c r="AD222" s="82">
        <v>3743688</v>
      </c>
      <c r="AE222" s="273">
        <v>2500</v>
      </c>
      <c r="AF222" s="82" t="s">
        <v>400</v>
      </c>
      <c r="AG222" s="82" t="s">
        <v>49</v>
      </c>
    </row>
    <row r="223" spans="27:33" x14ac:dyDescent="0.25">
      <c r="AA223" s="82" t="s">
        <v>421</v>
      </c>
      <c r="AB223" s="82">
        <v>40359391251</v>
      </c>
      <c r="AC223" s="82">
        <v>106165763</v>
      </c>
      <c r="AD223" s="82">
        <v>1702328</v>
      </c>
      <c r="AE223" s="273">
        <v>45750</v>
      </c>
      <c r="AF223" s="82" t="s">
        <v>400</v>
      </c>
      <c r="AG223" s="82" t="s">
        <v>49</v>
      </c>
    </row>
    <row r="224" spans="27:33" x14ac:dyDescent="0.25">
      <c r="AA224" s="82"/>
      <c r="AB224" s="82"/>
      <c r="AC224" s="82"/>
      <c r="AD224" s="82"/>
      <c r="AE224" s="273"/>
      <c r="AF224" s="82"/>
      <c r="AG224" s="82"/>
    </row>
    <row r="225" spans="27:33" x14ac:dyDescent="0.25">
      <c r="AA225" s="82"/>
      <c r="AB225" s="82"/>
      <c r="AC225" s="82"/>
      <c r="AD225" s="82"/>
      <c r="AE225" s="273"/>
      <c r="AF225" s="82"/>
      <c r="AG225" s="82"/>
    </row>
    <row r="226" spans="27:33" x14ac:dyDescent="0.25">
      <c r="AA226" s="82"/>
      <c r="AB226" s="82"/>
      <c r="AC226" s="82"/>
      <c r="AD226" s="82"/>
      <c r="AE226" s="273"/>
      <c r="AF226" s="82"/>
      <c r="AG226" s="82"/>
    </row>
    <row r="227" spans="27:33" x14ac:dyDescent="0.25">
      <c r="AA227" s="82"/>
      <c r="AB227" s="82"/>
      <c r="AC227" s="82"/>
      <c r="AD227" s="82"/>
      <c r="AE227" s="273"/>
      <c r="AF227" s="82"/>
      <c r="AG227" s="82"/>
    </row>
    <row r="228" spans="27:33" x14ac:dyDescent="0.25">
      <c r="AA228" s="82"/>
      <c r="AB228" s="82"/>
      <c r="AC228" s="82"/>
      <c r="AD228" s="82"/>
      <c r="AE228" s="273"/>
      <c r="AF228" s="82"/>
      <c r="AG228" s="82"/>
    </row>
    <row r="229" spans="27:33" x14ac:dyDescent="0.25">
      <c r="AA229" s="82"/>
      <c r="AB229" s="82"/>
      <c r="AC229" s="82"/>
      <c r="AD229" s="82"/>
      <c r="AE229" s="273"/>
      <c r="AF229" s="82"/>
      <c r="AG229" s="82"/>
    </row>
    <row r="230" spans="27:33" x14ac:dyDescent="0.25">
      <c r="AA230" s="82"/>
      <c r="AB230" s="82"/>
      <c r="AC230" s="82"/>
      <c r="AD230" s="82"/>
      <c r="AE230" s="273"/>
      <c r="AF230" s="82"/>
      <c r="AG230" s="82"/>
    </row>
    <row r="231" spans="27:33" x14ac:dyDescent="0.25">
      <c r="AA231" s="82"/>
      <c r="AB231" s="82"/>
      <c r="AC231" s="82"/>
      <c r="AD231" s="82"/>
      <c r="AE231" s="273"/>
      <c r="AF231" s="82"/>
      <c r="AG231" s="82"/>
    </row>
    <row r="232" spans="27:33" x14ac:dyDescent="0.25">
      <c r="AA232" s="82"/>
      <c r="AB232" s="82"/>
      <c r="AC232" s="82"/>
      <c r="AD232" s="82"/>
      <c r="AE232" s="273"/>
      <c r="AF232" s="82"/>
      <c r="AG232" s="82"/>
    </row>
    <row r="233" spans="27:33" x14ac:dyDescent="0.25">
      <c r="AA233" s="82"/>
      <c r="AB233" s="82"/>
      <c r="AC233" s="82"/>
      <c r="AD233" s="82"/>
      <c r="AE233" s="273"/>
      <c r="AF233" s="82"/>
      <c r="AG233" s="82"/>
    </row>
    <row r="234" spans="27:33" x14ac:dyDescent="0.25">
      <c r="AA234" s="82"/>
      <c r="AB234" s="82"/>
      <c r="AC234" s="82"/>
      <c r="AD234" s="82"/>
      <c r="AE234" s="273"/>
      <c r="AF234" s="82"/>
      <c r="AG234" s="82"/>
    </row>
    <row r="235" spans="27:33" x14ac:dyDescent="0.25">
      <c r="AA235" s="82"/>
      <c r="AB235" s="82"/>
      <c r="AC235" s="82"/>
      <c r="AD235" s="82"/>
      <c r="AE235" s="273"/>
      <c r="AF235" s="82"/>
      <c r="AG235" s="82"/>
    </row>
    <row r="236" spans="27:33" x14ac:dyDescent="0.25">
      <c r="AA236" s="82"/>
      <c r="AB236" s="82"/>
      <c r="AC236" s="82"/>
      <c r="AD236" s="82"/>
      <c r="AE236" s="273"/>
      <c r="AF236" s="82"/>
      <c r="AG236" s="82"/>
    </row>
    <row r="237" spans="27:33" x14ac:dyDescent="0.25">
      <c r="AA237" s="82"/>
      <c r="AB237" s="82"/>
      <c r="AC237" s="82"/>
      <c r="AD237" s="82"/>
      <c r="AE237" s="273"/>
      <c r="AF237" s="82"/>
      <c r="AG237" s="82"/>
    </row>
    <row r="238" spans="27:33" x14ac:dyDescent="0.25">
      <c r="AA238" s="82"/>
      <c r="AB238" s="82"/>
      <c r="AC238" s="82"/>
      <c r="AD238" s="82"/>
      <c r="AE238" s="273"/>
      <c r="AF238" s="82"/>
      <c r="AG238" s="82"/>
    </row>
    <row r="239" spans="27:33" x14ac:dyDescent="0.25">
      <c r="AA239" s="82"/>
      <c r="AB239" s="82"/>
      <c r="AC239" s="82"/>
      <c r="AD239" s="82"/>
      <c r="AE239" s="273"/>
      <c r="AF239" s="82"/>
      <c r="AG239" s="82"/>
    </row>
    <row r="240" spans="27:33" x14ac:dyDescent="0.25">
      <c r="AA240" s="82"/>
      <c r="AB240" s="82"/>
      <c r="AC240" s="82"/>
      <c r="AD240" s="82"/>
      <c r="AE240" s="273"/>
      <c r="AF240" s="82"/>
      <c r="AG240" s="82"/>
    </row>
    <row r="241" spans="27:33" x14ac:dyDescent="0.25">
      <c r="AA241" s="82"/>
      <c r="AB241" s="82"/>
      <c r="AC241" s="82"/>
      <c r="AD241" s="82"/>
      <c r="AE241" s="273"/>
      <c r="AF241" s="82"/>
      <c r="AG241" s="82"/>
    </row>
    <row r="242" spans="27:33" x14ac:dyDescent="0.25">
      <c r="AA242" s="82"/>
      <c r="AB242" s="82"/>
      <c r="AC242" s="82"/>
      <c r="AD242" s="82"/>
      <c r="AE242" s="273"/>
      <c r="AF242" s="82"/>
      <c r="AG242" s="82"/>
    </row>
    <row r="243" spans="27:33" x14ac:dyDescent="0.25">
      <c r="AA243" s="82"/>
      <c r="AB243" s="82"/>
      <c r="AC243" s="82"/>
      <c r="AD243" s="82"/>
      <c r="AE243" s="273"/>
      <c r="AF243" s="82"/>
      <c r="AG243" s="82"/>
    </row>
    <row r="244" spans="27:33" x14ac:dyDescent="0.25">
      <c r="AA244" s="82"/>
      <c r="AB244" s="82"/>
      <c r="AC244" s="82"/>
      <c r="AD244" s="82"/>
      <c r="AE244" s="273"/>
      <c r="AF244" s="82"/>
      <c r="AG244" s="82"/>
    </row>
    <row r="245" spans="27:33" x14ac:dyDescent="0.25">
      <c r="AA245" s="82"/>
      <c r="AB245" s="82"/>
      <c r="AC245" s="82"/>
      <c r="AD245" s="82"/>
      <c r="AE245" s="273"/>
      <c r="AF245" s="82"/>
      <c r="AG245" s="82"/>
    </row>
    <row r="246" spans="27:33" x14ac:dyDescent="0.25">
      <c r="AA246" s="82"/>
      <c r="AB246" s="82"/>
      <c r="AC246" s="82"/>
      <c r="AD246" s="82"/>
      <c r="AE246" s="273"/>
      <c r="AF246" s="82"/>
      <c r="AG246" s="82"/>
    </row>
    <row r="247" spans="27:33" x14ac:dyDescent="0.25">
      <c r="AA247" s="82"/>
      <c r="AB247" s="82"/>
      <c r="AC247" s="82"/>
      <c r="AD247" s="82"/>
      <c r="AE247" s="273"/>
      <c r="AF247" s="82"/>
      <c r="AG247" s="82"/>
    </row>
    <row r="248" spans="27:33" x14ac:dyDescent="0.25">
      <c r="AA248" s="82"/>
      <c r="AB248" s="82"/>
      <c r="AC248" s="82"/>
      <c r="AD248" s="82"/>
      <c r="AE248" s="273"/>
      <c r="AF248" s="82"/>
      <c r="AG248" s="82"/>
    </row>
    <row r="249" spans="27:33" x14ac:dyDescent="0.25">
      <c r="AA249" s="82"/>
      <c r="AB249" s="82"/>
      <c r="AC249" s="82"/>
      <c r="AD249" s="82"/>
      <c r="AE249" s="273"/>
      <c r="AF249" s="82"/>
      <c r="AG249" s="82"/>
    </row>
    <row r="250" spans="27:33" x14ac:dyDescent="0.25">
      <c r="AA250" s="82"/>
      <c r="AB250" s="82"/>
      <c r="AC250" s="82"/>
      <c r="AD250" s="82"/>
      <c r="AE250" s="273"/>
      <c r="AF250" s="82"/>
      <c r="AG250" s="82"/>
    </row>
    <row r="251" spans="27:33" x14ac:dyDescent="0.25">
      <c r="AA251" s="82"/>
      <c r="AB251" s="82"/>
      <c r="AC251" s="82"/>
      <c r="AD251" s="82"/>
      <c r="AE251" s="273"/>
      <c r="AF251" s="82"/>
      <c r="AG251" s="82"/>
    </row>
    <row r="252" spans="27:33" x14ac:dyDescent="0.25">
      <c r="AA252" s="82"/>
      <c r="AB252" s="82"/>
      <c r="AC252" s="82"/>
      <c r="AD252" s="82"/>
      <c r="AE252" s="273"/>
      <c r="AF252" s="82"/>
      <c r="AG252" s="82"/>
    </row>
    <row r="253" spans="27:33" x14ac:dyDescent="0.25">
      <c r="AA253" s="82"/>
      <c r="AB253" s="82"/>
      <c r="AC253" s="82"/>
      <c r="AD253" s="82"/>
      <c r="AE253" s="273"/>
      <c r="AF253" s="82"/>
      <c r="AG253" s="82"/>
    </row>
    <row r="254" spans="27:33" x14ac:dyDescent="0.25">
      <c r="AA254" s="82"/>
      <c r="AB254" s="82"/>
      <c r="AC254" s="82"/>
      <c r="AD254" s="82"/>
      <c r="AE254" s="273"/>
      <c r="AF254" s="82"/>
      <c r="AG254" s="82"/>
    </row>
    <row r="255" spans="27:33" x14ac:dyDescent="0.25">
      <c r="AA255" s="82"/>
      <c r="AB255" s="82"/>
      <c r="AC255" s="82"/>
      <c r="AD255" s="82"/>
      <c r="AE255" s="82"/>
      <c r="AF255" s="82"/>
      <c r="AG255" s="82"/>
    </row>
    <row r="256" spans="27:33" x14ac:dyDescent="0.25">
      <c r="AA256" s="82"/>
      <c r="AB256" s="82"/>
      <c r="AC256" s="82"/>
      <c r="AD256" s="82"/>
      <c r="AE256" s="82"/>
      <c r="AF256" s="82"/>
      <c r="AG256" s="82"/>
    </row>
    <row r="257" spans="27:33" x14ac:dyDescent="0.25">
      <c r="AA257" s="82"/>
      <c r="AB257" s="82"/>
      <c r="AC257" s="82"/>
      <c r="AD257" s="82"/>
      <c r="AE257" s="82"/>
      <c r="AF257" s="82"/>
      <c r="AG257" s="82"/>
    </row>
    <row r="258" spans="27:33" x14ac:dyDescent="0.25">
      <c r="AA258" s="82"/>
      <c r="AB258" s="82"/>
      <c r="AC258" s="82"/>
      <c r="AD258" s="82"/>
      <c r="AE258" s="82"/>
      <c r="AF258" s="82"/>
      <c r="AG258" s="82"/>
    </row>
    <row r="259" spans="27:33" x14ac:dyDescent="0.25">
      <c r="AA259" s="82"/>
      <c r="AB259" s="82"/>
      <c r="AC259" s="82"/>
      <c r="AD259" s="82"/>
      <c r="AE259" s="82"/>
      <c r="AF259" s="82"/>
      <c r="AG259" s="82"/>
    </row>
    <row r="260" spans="27:33" x14ac:dyDescent="0.25">
      <c r="AA260" s="82"/>
      <c r="AB260" s="82"/>
      <c r="AC260" s="82"/>
      <c r="AD260" s="82"/>
      <c r="AE260" s="82"/>
      <c r="AF260" s="82"/>
      <c r="AG260" s="82"/>
    </row>
    <row r="261" spans="27:33" x14ac:dyDescent="0.25">
      <c r="AA261" s="82"/>
      <c r="AB261" s="82"/>
      <c r="AC261" s="82"/>
      <c r="AD261" s="82"/>
      <c r="AE261" s="82"/>
      <c r="AF261" s="82"/>
      <c r="AG261" s="82" t="str">
        <f t="shared" ref="AG261:AG265" si="1">IF(AC261="","",IF(AC261&gt;500000000,"IRC","IRS"))</f>
        <v/>
      </c>
    </row>
    <row r="262" spans="27:33" x14ac:dyDescent="0.25">
      <c r="AA262" s="82"/>
      <c r="AB262" s="82"/>
      <c r="AC262" s="82"/>
      <c r="AD262" s="82"/>
      <c r="AE262" s="82"/>
      <c r="AF262" s="82"/>
      <c r="AG262" s="82" t="str">
        <f t="shared" si="1"/>
        <v/>
      </c>
    </row>
    <row r="263" spans="27:33" x14ac:dyDescent="0.25">
      <c r="AA263" s="82"/>
      <c r="AB263" s="82"/>
      <c r="AC263" s="82"/>
      <c r="AD263" s="82"/>
      <c r="AE263" s="82"/>
      <c r="AF263" s="82"/>
      <c r="AG263" s="82" t="str">
        <f t="shared" si="1"/>
        <v/>
      </c>
    </row>
    <row r="264" spans="27:33" x14ac:dyDescent="0.25">
      <c r="AA264" s="82"/>
      <c r="AB264" s="82"/>
      <c r="AC264" s="82"/>
      <c r="AD264" s="82"/>
      <c r="AE264" s="82"/>
      <c r="AF264" s="82"/>
      <c r="AG264" s="82" t="str">
        <f t="shared" si="1"/>
        <v/>
      </c>
    </row>
    <row r="265" spans="27:33" x14ac:dyDescent="0.25">
      <c r="AA265" s="82"/>
      <c r="AB265" s="82"/>
      <c r="AC265" s="82"/>
      <c r="AD265" s="82"/>
      <c r="AE265" s="82"/>
      <c r="AF265" s="82"/>
      <c r="AG265" s="82" t="str">
        <f t="shared" si="1"/>
        <v/>
      </c>
    </row>
    <row r="266" spans="27:33" x14ac:dyDescent="0.25">
      <c r="AA266" s="82"/>
      <c r="AB266" s="82"/>
      <c r="AC266" s="82"/>
      <c r="AD266" s="82"/>
      <c r="AE266" s="82"/>
      <c r="AF266" s="82"/>
      <c r="AG266" s="82" t="str">
        <f t="shared" ref="AG266:AG301" si="2">IF(AC266="","",IF(AC266&gt;500000000,"IRC","IRS"))</f>
        <v/>
      </c>
    </row>
    <row r="267" spans="27:33" x14ac:dyDescent="0.25">
      <c r="AA267" s="82"/>
      <c r="AB267" s="82"/>
      <c r="AC267" s="82"/>
      <c r="AD267" s="82"/>
      <c r="AE267" s="82"/>
      <c r="AF267" s="82"/>
      <c r="AG267" s="82" t="str">
        <f t="shared" si="2"/>
        <v/>
      </c>
    </row>
    <row r="268" spans="27:33" x14ac:dyDescent="0.25">
      <c r="AA268" s="82"/>
      <c r="AB268" s="82"/>
      <c r="AC268" s="82"/>
      <c r="AD268" s="82"/>
      <c r="AE268" s="82"/>
      <c r="AF268" s="82"/>
      <c r="AG268" s="82" t="str">
        <f t="shared" si="2"/>
        <v/>
      </c>
    </row>
    <row r="269" spans="27:33" x14ac:dyDescent="0.25">
      <c r="AA269" s="82"/>
      <c r="AB269" s="82"/>
      <c r="AC269" s="82"/>
      <c r="AD269" s="82"/>
      <c r="AE269" s="82"/>
      <c r="AF269" s="82"/>
      <c r="AG269" s="82" t="str">
        <f t="shared" si="2"/>
        <v/>
      </c>
    </row>
    <row r="270" spans="27:33" x14ac:dyDescent="0.25">
      <c r="AA270" s="82"/>
      <c r="AB270" s="82"/>
      <c r="AC270" s="82"/>
      <c r="AD270" s="82"/>
      <c r="AE270" s="82"/>
      <c r="AF270" s="82"/>
      <c r="AG270" s="82" t="str">
        <f t="shared" si="2"/>
        <v/>
      </c>
    </row>
    <row r="271" spans="27:33" x14ac:dyDescent="0.25">
      <c r="AA271" s="82"/>
      <c r="AB271" s="82"/>
      <c r="AC271" s="82"/>
      <c r="AD271" s="82"/>
      <c r="AE271" s="82"/>
      <c r="AF271" s="82"/>
      <c r="AG271" s="82" t="str">
        <f t="shared" si="2"/>
        <v/>
      </c>
    </row>
    <row r="272" spans="27:33" x14ac:dyDescent="0.25">
      <c r="AA272" s="82"/>
      <c r="AB272" s="82"/>
      <c r="AC272" s="82"/>
      <c r="AD272" s="82"/>
      <c r="AE272" s="82"/>
      <c r="AF272" s="82"/>
      <c r="AG272" s="82" t="str">
        <f t="shared" si="2"/>
        <v/>
      </c>
    </row>
    <row r="273" spans="27:33" x14ac:dyDescent="0.25">
      <c r="AA273" s="82"/>
      <c r="AB273" s="82"/>
      <c r="AC273" s="82"/>
      <c r="AD273" s="82"/>
      <c r="AE273" s="82"/>
      <c r="AF273" s="82"/>
      <c r="AG273" s="82" t="str">
        <f t="shared" si="2"/>
        <v/>
      </c>
    </row>
    <row r="274" spans="27:33" x14ac:dyDescent="0.25">
      <c r="AA274" s="82"/>
      <c r="AB274" s="82"/>
      <c r="AC274" s="82"/>
      <c r="AD274" s="82"/>
      <c r="AE274" s="82"/>
      <c r="AF274" s="82"/>
      <c r="AG274" s="82" t="str">
        <f t="shared" si="2"/>
        <v/>
      </c>
    </row>
    <row r="275" spans="27:33" x14ac:dyDescent="0.25">
      <c r="AA275" s="82"/>
      <c r="AB275" s="82"/>
      <c r="AC275" s="82"/>
      <c r="AD275" s="82"/>
      <c r="AE275" s="82"/>
      <c r="AF275" s="82"/>
      <c r="AG275" s="82" t="str">
        <f t="shared" si="2"/>
        <v/>
      </c>
    </row>
    <row r="276" spans="27:33" x14ac:dyDescent="0.25">
      <c r="AA276" s="82"/>
      <c r="AB276" s="82"/>
      <c r="AC276" s="82"/>
      <c r="AD276" s="82"/>
      <c r="AE276" s="82"/>
      <c r="AF276" s="82"/>
      <c r="AG276" s="82" t="str">
        <f t="shared" si="2"/>
        <v/>
      </c>
    </row>
    <row r="277" spans="27:33" x14ac:dyDescent="0.25">
      <c r="AA277" s="82"/>
      <c r="AB277" s="82"/>
      <c r="AC277" s="82"/>
      <c r="AD277" s="82"/>
      <c r="AE277" s="82"/>
      <c r="AF277" s="82"/>
      <c r="AG277" s="82" t="str">
        <f t="shared" si="2"/>
        <v/>
      </c>
    </row>
    <row r="278" spans="27:33" x14ac:dyDescent="0.25">
      <c r="AA278" s="82"/>
      <c r="AB278" s="82"/>
      <c r="AC278" s="82"/>
      <c r="AD278" s="82"/>
      <c r="AE278" s="82"/>
      <c r="AF278" s="82"/>
      <c r="AG278" s="82" t="str">
        <f t="shared" si="2"/>
        <v/>
      </c>
    </row>
    <row r="279" spans="27:33" x14ac:dyDescent="0.25">
      <c r="AA279" s="82"/>
      <c r="AB279" s="82"/>
      <c r="AC279" s="82"/>
      <c r="AD279" s="82"/>
      <c r="AE279" s="82"/>
      <c r="AF279" s="82"/>
      <c r="AG279" s="82" t="str">
        <f t="shared" si="2"/>
        <v/>
      </c>
    </row>
    <row r="280" spans="27:33" x14ac:dyDescent="0.25">
      <c r="AA280" s="82"/>
      <c r="AB280" s="82"/>
      <c r="AC280" s="82"/>
      <c r="AD280" s="82"/>
      <c r="AE280" s="82"/>
      <c r="AF280" s="82"/>
      <c r="AG280" s="82" t="str">
        <f t="shared" si="2"/>
        <v/>
      </c>
    </row>
    <row r="281" spans="27:33" x14ac:dyDescent="0.25">
      <c r="AA281" s="82"/>
      <c r="AB281" s="82"/>
      <c r="AC281" s="82"/>
      <c r="AD281" s="82"/>
      <c r="AE281" s="82"/>
      <c r="AF281" s="82"/>
      <c r="AG281" s="82" t="str">
        <f t="shared" si="2"/>
        <v/>
      </c>
    </row>
    <row r="282" spans="27:33" x14ac:dyDescent="0.25">
      <c r="AA282" s="82"/>
      <c r="AB282" s="82"/>
      <c r="AC282" s="82"/>
      <c r="AD282" s="82"/>
      <c r="AE282" s="82"/>
      <c r="AF282" s="82"/>
      <c r="AG282" s="82" t="str">
        <f t="shared" si="2"/>
        <v/>
      </c>
    </row>
    <row r="283" spans="27:33" x14ac:dyDescent="0.25">
      <c r="AA283" s="82"/>
      <c r="AB283" s="82"/>
      <c r="AC283" s="82"/>
      <c r="AD283" s="82"/>
      <c r="AE283" s="82"/>
      <c r="AF283" s="82"/>
      <c r="AG283" s="82" t="str">
        <f t="shared" si="2"/>
        <v/>
      </c>
    </row>
    <row r="284" spans="27:33" x14ac:dyDescent="0.25">
      <c r="AA284" s="82"/>
      <c r="AB284" s="82"/>
      <c r="AC284" s="82"/>
      <c r="AD284" s="82"/>
      <c r="AE284" s="82"/>
      <c r="AF284" s="82"/>
      <c r="AG284" s="82" t="str">
        <f t="shared" si="2"/>
        <v/>
      </c>
    </row>
    <row r="285" spans="27:33" x14ac:dyDescent="0.25">
      <c r="AA285" s="82"/>
      <c r="AB285" s="82"/>
      <c r="AC285" s="82"/>
      <c r="AD285" s="82"/>
      <c r="AE285" s="82"/>
      <c r="AF285" s="82"/>
      <c r="AG285" s="82" t="str">
        <f t="shared" si="2"/>
        <v/>
      </c>
    </row>
    <row r="286" spans="27:33" x14ac:dyDescent="0.25">
      <c r="AA286" s="82"/>
      <c r="AB286" s="82"/>
      <c r="AC286" s="82"/>
      <c r="AD286" s="82"/>
      <c r="AE286" s="82"/>
      <c r="AF286" s="82"/>
      <c r="AG286" s="82" t="str">
        <f t="shared" si="2"/>
        <v/>
      </c>
    </row>
    <row r="287" spans="27:33" x14ac:dyDescent="0.25">
      <c r="AA287" s="82"/>
      <c r="AB287" s="82"/>
      <c r="AC287" s="82"/>
      <c r="AD287" s="82"/>
      <c r="AE287" s="82"/>
      <c r="AF287" s="82"/>
      <c r="AG287" s="82" t="str">
        <f t="shared" si="2"/>
        <v/>
      </c>
    </row>
    <row r="288" spans="27:33" x14ac:dyDescent="0.25">
      <c r="AA288" s="82"/>
      <c r="AB288" s="82"/>
      <c r="AC288" s="82"/>
      <c r="AD288" s="82"/>
      <c r="AE288" s="82"/>
      <c r="AF288" s="82"/>
      <c r="AG288" s="82" t="str">
        <f t="shared" si="2"/>
        <v/>
      </c>
    </row>
    <row r="289" spans="27:33" x14ac:dyDescent="0.25">
      <c r="AA289" s="82"/>
      <c r="AB289" s="82"/>
      <c r="AC289" s="82"/>
      <c r="AD289" s="82"/>
      <c r="AE289" s="82"/>
      <c r="AF289" s="82"/>
      <c r="AG289" s="82" t="str">
        <f t="shared" si="2"/>
        <v/>
      </c>
    </row>
    <row r="290" spans="27:33" x14ac:dyDescent="0.25">
      <c r="AA290" s="82"/>
      <c r="AB290" s="82"/>
      <c r="AC290" s="82"/>
      <c r="AD290" s="82"/>
      <c r="AE290" s="82"/>
      <c r="AF290" s="82"/>
      <c r="AG290" s="82" t="str">
        <f t="shared" si="2"/>
        <v/>
      </c>
    </row>
    <row r="291" spans="27:33" x14ac:dyDescent="0.25">
      <c r="AA291" s="82"/>
      <c r="AB291" s="82"/>
      <c r="AC291" s="82"/>
      <c r="AD291" s="82"/>
      <c r="AE291" s="82"/>
      <c r="AF291" s="82"/>
      <c r="AG291" s="82" t="str">
        <f t="shared" si="2"/>
        <v/>
      </c>
    </row>
    <row r="292" spans="27:33" x14ac:dyDescent="0.25">
      <c r="AA292" s="82"/>
      <c r="AB292" s="82"/>
      <c r="AC292" s="82"/>
      <c r="AD292" s="82"/>
      <c r="AE292" s="82"/>
      <c r="AF292" s="82"/>
      <c r="AG292" s="82" t="str">
        <f t="shared" si="2"/>
        <v/>
      </c>
    </row>
    <row r="293" spans="27:33" x14ac:dyDescent="0.25">
      <c r="AA293" s="82"/>
      <c r="AB293" s="82"/>
      <c r="AC293" s="82"/>
      <c r="AD293" s="82"/>
      <c r="AE293" s="82"/>
      <c r="AF293" s="82"/>
      <c r="AG293" s="82" t="str">
        <f t="shared" si="2"/>
        <v/>
      </c>
    </row>
    <row r="294" spans="27:33" x14ac:dyDescent="0.25">
      <c r="AA294" s="82"/>
      <c r="AB294" s="82"/>
      <c r="AC294" s="82"/>
      <c r="AD294" s="82"/>
      <c r="AE294" s="82"/>
      <c r="AF294" s="82"/>
      <c r="AG294" s="82" t="str">
        <f t="shared" si="2"/>
        <v/>
      </c>
    </row>
    <row r="295" spans="27:33" x14ac:dyDescent="0.25">
      <c r="AA295" s="82"/>
      <c r="AB295" s="82"/>
      <c r="AC295" s="82"/>
      <c r="AD295" s="82"/>
      <c r="AE295" s="82"/>
      <c r="AF295" s="82"/>
      <c r="AG295" s="82" t="str">
        <f t="shared" si="2"/>
        <v/>
      </c>
    </row>
    <row r="296" spans="27:33" x14ac:dyDescent="0.25">
      <c r="AA296" s="82"/>
      <c r="AB296" s="82"/>
      <c r="AC296" s="82"/>
      <c r="AD296" s="82"/>
      <c r="AE296" s="82"/>
      <c r="AF296" s="82"/>
      <c r="AG296" s="82" t="str">
        <f t="shared" si="2"/>
        <v/>
      </c>
    </row>
    <row r="297" spans="27:33" x14ac:dyDescent="0.25">
      <c r="AA297" s="82"/>
      <c r="AB297" s="82"/>
      <c r="AC297" s="82"/>
      <c r="AD297" s="82"/>
      <c r="AE297" s="82"/>
      <c r="AF297" s="82"/>
      <c r="AG297" s="82" t="str">
        <f t="shared" si="2"/>
        <v/>
      </c>
    </row>
    <row r="298" spans="27:33" x14ac:dyDescent="0.25">
      <c r="AA298" s="82"/>
      <c r="AB298" s="82"/>
      <c r="AC298" s="82"/>
      <c r="AD298" s="82"/>
      <c r="AE298" s="82"/>
      <c r="AF298" s="82"/>
      <c r="AG298" s="82" t="str">
        <f t="shared" si="2"/>
        <v/>
      </c>
    </row>
    <row r="299" spans="27:33" x14ac:dyDescent="0.25">
      <c r="AA299" s="82"/>
      <c r="AB299" s="82"/>
      <c r="AC299" s="82"/>
      <c r="AD299" s="82"/>
      <c r="AE299" s="82"/>
      <c r="AF299" s="82"/>
      <c r="AG299" s="82" t="str">
        <f t="shared" si="2"/>
        <v/>
      </c>
    </row>
    <row r="300" spans="27:33" x14ac:dyDescent="0.25">
      <c r="AG300" s="1" t="str">
        <f t="shared" si="2"/>
        <v/>
      </c>
    </row>
    <row r="301" spans="27:33" x14ac:dyDescent="0.25">
      <c r="AG301" s="1" t="str">
        <f t="shared" si="2"/>
        <v/>
      </c>
    </row>
  </sheetData>
  <sheetProtection algorithmName="SHA-512" hashValue="Q6ZNrY36z0mDSaqLS+eh61P65UQyQcG0QNs1udnA5IgmxszsRhpRqCNvFSO4LzNN4SskBwLVNYuTImmZP/vQdA==" saltValue="iW05TVdXUhbhQbPu4rPJ/Q==" spinCount="100000" sheet="1" selectLockedCells="1"/>
  <sortState xmlns:xlrd2="http://schemas.microsoft.com/office/spreadsheetml/2017/richdata2" ref="AA201:AG254">
    <sortCondition ref="AA201:AA254"/>
  </sortState>
  <mergeCells count="76">
    <mergeCell ref="F124:H124"/>
    <mergeCell ref="K124:M124"/>
    <mergeCell ref="F198:N198"/>
    <mergeCell ref="F199:N199"/>
    <mergeCell ref="F200:N200"/>
    <mergeCell ref="L62:M62"/>
    <mergeCell ref="F63:N63"/>
    <mergeCell ref="F72:O73"/>
    <mergeCell ref="F75:F76"/>
    <mergeCell ref="G75:I75"/>
    <mergeCell ref="J75:M75"/>
    <mergeCell ref="N75:O75"/>
    <mergeCell ref="K61:N61"/>
    <mergeCell ref="F46:O47"/>
    <mergeCell ref="F49:I51"/>
    <mergeCell ref="J49:K52"/>
    <mergeCell ref="L49:L52"/>
    <mergeCell ref="M49:N52"/>
    <mergeCell ref="F52:I52"/>
    <mergeCell ref="F54:N54"/>
    <mergeCell ref="L56:M56"/>
    <mergeCell ref="G57:H57"/>
    <mergeCell ref="G60:H60"/>
    <mergeCell ref="K60:N60"/>
    <mergeCell ref="F44:O44"/>
    <mergeCell ref="F34:N34"/>
    <mergeCell ref="F35:N35"/>
    <mergeCell ref="F37:O38"/>
    <mergeCell ref="G40:H40"/>
    <mergeCell ref="I40:J40"/>
    <mergeCell ref="K40:L40"/>
    <mergeCell ref="M40:N40"/>
    <mergeCell ref="G41:H41"/>
    <mergeCell ref="I41:J41"/>
    <mergeCell ref="K41:L41"/>
    <mergeCell ref="M41:N41"/>
    <mergeCell ref="F43:O43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K1:N1"/>
    <mergeCell ref="K2:N2"/>
    <mergeCell ref="K3:N3"/>
    <mergeCell ref="K4:N4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2" priority="2" operator="containsText" text="A PREENCHER Nome, Conta e NIF">
      <formula>NOT(ISERROR(SEARCH("A PREENCHER Nome, Conta e NIF",G11)))</formula>
    </cfRule>
  </conditionalFormatting>
  <conditionalFormatting sqref="H25 H27">
    <cfRule type="cellIs" dxfId="1" priority="3" stopIfTrue="1" operator="equal">
      <formula>"A PREENCHER"</formula>
    </cfRule>
  </conditionalFormatting>
  <conditionalFormatting sqref="O124">
    <cfRule type="cellIs" dxfId="0" priority="1" operator="equal">
      <formula>"OK"</formula>
    </cfRule>
  </conditionalFormatting>
  <dataValidations count="2">
    <dataValidation type="list" showInputMessage="1" showErrorMessage="1" errorTitle="Nome do Cliente" error="Inserir o Nome do Cliente" prompt="Nome do Cliente" sqref="G11:I11" xr:uid="{6475D736-8FA5-4A07-B74B-32040650E2E3}">
      <formula1>$AA$200:$AA$299</formula1>
    </dataValidation>
    <dataValidation type="list" allowBlank="1" showInputMessage="1" showErrorMessage="1" sqref="H27:I27" xr:uid="{25B30EBE-B42D-4D61-8073-C122B9927935}">
      <formula1>$XFB$1:$XFB$3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5A68-7A8A-4BE2-871E-93BF1B9A0410}">
  <dimension ref="A2"/>
  <sheetViews>
    <sheetView workbookViewId="0"/>
  </sheetViews>
  <sheetFormatPr defaultRowHeight="15" x14ac:dyDescent="0.25"/>
  <sheetData>
    <row r="2" spans="1:1" x14ac:dyDescent="0.25">
      <c r="A2" s="127" t="s">
        <v>369</v>
      </c>
    </row>
  </sheetData>
  <sheetProtection algorithmName="SHA-512" hashValue="7NxD/vURQAxKudPzzbe2hDCc15m2dDNQt+BGGTUAPcqG1h5SxwlkztZ9SzvHRl2TNtdOnhYPcIrjYz+atA8PQg==" saltValue="jdPpFNHpo+cXKmlhun+mt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286"/>
  <sheetViews>
    <sheetView showGridLines="0" zoomScale="120" zoomScaleNormal="120" workbookViewId="0">
      <selection activeCell="H7" sqref="H7:K7"/>
    </sheetView>
  </sheetViews>
  <sheetFormatPr defaultRowHeight="12.75" x14ac:dyDescent="0.2"/>
  <cols>
    <col min="1" max="1" width="29.42578125" style="2" customWidth="1"/>
    <col min="2" max="2" width="23.140625" style="2" customWidth="1"/>
    <col min="3" max="3" width="16.5703125" style="2" customWidth="1"/>
    <col min="4" max="4" width="12" style="2" customWidth="1"/>
    <col min="5" max="5" width="22.28515625" style="2" customWidth="1"/>
    <col min="6" max="6" width="15.28515625" style="2" customWidth="1"/>
    <col min="7" max="7" width="20.7109375" style="2" bestFit="1" customWidth="1"/>
    <col min="8" max="8" width="15.28515625" style="2" customWidth="1"/>
    <col min="9" max="9" width="14.7109375" style="2" bestFit="1" customWidth="1"/>
    <col min="10" max="10" width="17.7109375" style="2" bestFit="1" customWidth="1"/>
    <col min="11" max="11" width="14.28515625" style="2" customWidth="1"/>
    <col min="12" max="12" width="19.42578125" style="2" bestFit="1" customWidth="1"/>
    <col min="13" max="13" width="22.140625" style="2" bestFit="1" customWidth="1"/>
    <col min="14" max="14" width="12.7109375" style="2" bestFit="1" customWidth="1"/>
    <col min="15" max="15" width="13.28515625" style="2" bestFit="1" customWidth="1"/>
    <col min="16" max="16" width="12.7109375" style="2" bestFit="1" customWidth="1"/>
    <col min="17" max="17" width="13.28515625" style="2" bestFit="1" customWidth="1"/>
    <col min="18" max="18" width="12.7109375" style="2" bestFit="1" customWidth="1"/>
    <col min="19" max="19" width="20.7109375" style="2" customWidth="1"/>
    <col min="20" max="23" width="12.7109375" style="2" bestFit="1" customWidth="1"/>
    <col min="24" max="24" width="21.28515625" style="2" bestFit="1" customWidth="1"/>
    <col min="25" max="62" width="12.7109375" style="2" bestFit="1" customWidth="1"/>
    <col min="63" max="63" width="11.140625" style="2" bestFit="1" customWidth="1"/>
    <col min="64" max="64" width="12.7109375" style="2" bestFit="1" customWidth="1"/>
    <col min="65" max="65" width="11.140625" style="2" bestFit="1" customWidth="1"/>
    <col min="66" max="66" width="12.7109375" style="2" bestFit="1" customWidth="1"/>
    <col min="67" max="67" width="11.7109375" style="2" customWidth="1"/>
    <col min="68" max="68" width="12.7109375" style="2" bestFit="1" customWidth="1"/>
    <col min="69" max="69" width="9.140625" style="2"/>
    <col min="70" max="70" width="12.7109375" style="2" bestFit="1" customWidth="1"/>
    <col min="71" max="71" width="9.140625" style="2"/>
    <col min="72" max="72" width="12.7109375" style="2" bestFit="1" customWidth="1"/>
    <col min="73" max="73" width="9.140625" style="2"/>
    <col min="74" max="74" width="12.7109375" style="2" bestFit="1" customWidth="1"/>
    <col min="75" max="75" width="9.140625" style="2"/>
    <col min="76" max="76" width="12.7109375" style="2" bestFit="1" customWidth="1"/>
    <col min="77" max="77" width="9.140625" style="2"/>
    <col min="78" max="78" width="12.7109375" style="2" bestFit="1" customWidth="1"/>
    <col min="79" max="79" width="9.140625" style="2"/>
    <col min="80" max="80" width="12.7109375" style="2" bestFit="1" customWidth="1"/>
    <col min="81" max="81" width="9.140625" style="2"/>
    <col min="82" max="82" width="12.7109375" style="2" bestFit="1" customWidth="1"/>
    <col min="83" max="83" width="9.140625" style="2"/>
    <col min="84" max="84" width="12.7109375" style="2" bestFit="1" customWidth="1"/>
    <col min="85" max="85" width="11.28515625" style="2" bestFit="1" customWidth="1"/>
    <col min="86" max="86" width="12.7109375" style="2" bestFit="1" customWidth="1"/>
    <col min="87" max="87" width="9.140625" style="2"/>
    <col min="88" max="88" width="12.7109375" style="2" bestFit="1" customWidth="1"/>
    <col min="89" max="16381" width="9.140625" style="2"/>
    <col min="16382" max="16382" width="9.28515625" style="2" bestFit="1" customWidth="1"/>
    <col min="16383" max="16384" width="9.140625" style="2"/>
  </cols>
  <sheetData>
    <row r="1" spans="1:23 16375:16384" x14ac:dyDescent="0.2">
      <c r="XEU1" s="2" t="s">
        <v>378</v>
      </c>
      <c r="XEX1" s="2" t="s">
        <v>68</v>
      </c>
      <c r="XFA1" s="2" t="s">
        <v>4</v>
      </c>
      <c r="XFB1" s="2" t="s">
        <v>27</v>
      </c>
      <c r="XFD1" s="2" t="s">
        <v>3</v>
      </c>
    </row>
    <row r="2" spans="1:23 16375:16384" ht="30" x14ac:dyDescent="0.4">
      <c r="A2" s="23" t="s">
        <v>65</v>
      </c>
      <c r="XEU2" s="2" t="s">
        <v>379</v>
      </c>
      <c r="XEX2" s="2" t="s">
        <v>101</v>
      </c>
      <c r="XEY2" s="110">
        <v>1</v>
      </c>
    </row>
    <row r="3" spans="1:23 16375:16384" x14ac:dyDescent="0.2">
      <c r="XEU3" s="2" t="s">
        <v>380</v>
      </c>
      <c r="XEX3" s="2" t="s">
        <v>100</v>
      </c>
    </row>
    <row r="4" spans="1:23 16375:16384" ht="12.75" customHeight="1" x14ac:dyDescent="0.2">
      <c r="A4" s="25" t="s">
        <v>354</v>
      </c>
      <c r="B4" s="270" t="s">
        <v>357</v>
      </c>
      <c r="M4" s="514" t="s">
        <v>331</v>
      </c>
      <c r="N4" s="516" t="s">
        <v>333</v>
      </c>
      <c r="O4" s="514" t="s">
        <v>332</v>
      </c>
      <c r="T4" s="509" t="s">
        <v>359</v>
      </c>
      <c r="U4" s="512" t="s">
        <v>41</v>
      </c>
      <c r="V4" s="513" t="s">
        <v>47</v>
      </c>
      <c r="W4" s="513" t="s">
        <v>48</v>
      </c>
    </row>
    <row r="5" spans="1:23 16375:16384" x14ac:dyDescent="0.2">
      <c r="M5" s="514"/>
      <c r="N5" s="516"/>
      <c r="O5" s="514"/>
      <c r="T5" s="510"/>
      <c r="U5" s="512"/>
      <c r="V5" s="513"/>
      <c r="W5" s="513"/>
    </row>
    <row r="6" spans="1:23 16375:16384" x14ac:dyDescent="0.2">
      <c r="M6" s="514"/>
      <c r="N6" s="516"/>
      <c r="O6" s="514"/>
      <c r="T6" s="510"/>
      <c r="U6" s="512"/>
      <c r="V6" s="513"/>
      <c r="W6" s="513"/>
      <c r="XFA6" s="2" t="s">
        <v>18</v>
      </c>
      <c r="XFB6" s="2">
        <v>1</v>
      </c>
      <c r="XFD6" s="2" t="s">
        <v>12</v>
      </c>
    </row>
    <row r="7" spans="1:23 16375:16384" ht="15" x14ac:dyDescent="0.25">
      <c r="A7" s="4" t="s">
        <v>0</v>
      </c>
      <c r="B7" s="122" t="str">
        <f>'Mota Engil 2024-2029'!B2</f>
        <v>Obrigações Mota-Engil 2029</v>
      </c>
      <c r="H7" s="484" t="s">
        <v>331</v>
      </c>
      <c r="I7" s="484"/>
      <c r="J7" s="484"/>
      <c r="K7" s="484"/>
      <c r="L7" s="280" t="s">
        <v>360</v>
      </c>
      <c r="M7" s="515"/>
      <c r="N7" s="516"/>
      <c r="O7" s="514"/>
      <c r="T7" s="511"/>
      <c r="U7" s="512"/>
      <c r="V7" s="513"/>
      <c r="W7" s="513"/>
      <c r="XFA7" s="2" t="s">
        <v>17</v>
      </c>
      <c r="XFB7" s="2">
        <v>2</v>
      </c>
      <c r="XFD7" s="2" t="s">
        <v>10</v>
      </c>
    </row>
    <row r="8" spans="1:23 16375:16384" x14ac:dyDescent="0.2">
      <c r="A8" s="4" t="s">
        <v>1</v>
      </c>
      <c r="B8" s="123">
        <f>'Mota Engil 2024-2029'!B18</f>
        <v>0.05</v>
      </c>
      <c r="H8" s="488" t="s">
        <v>315</v>
      </c>
      <c r="I8" s="488"/>
      <c r="J8" s="488"/>
      <c r="K8" s="227">
        <f t="shared" ref="K8:K18" si="0">IF($H$7=$M$4,M8,IF($H$7=$N$4,N8,IF($H$7=$O$4,O8,"")))</f>
        <v>5.0000000000000001E-3</v>
      </c>
      <c r="M8" s="227">
        <v>5.0000000000000001E-3</v>
      </c>
      <c r="N8" s="227">
        <v>0</v>
      </c>
      <c r="O8" s="227">
        <v>0</v>
      </c>
      <c r="Q8" s="244">
        <f>M19</f>
        <v>28.317</v>
      </c>
      <c r="R8" s="245" t="str">
        <f>M4</f>
        <v>C/Impostos e Comissões</v>
      </c>
      <c r="T8" s="271" t="s">
        <v>355</v>
      </c>
      <c r="U8" s="18">
        <f>FOLHA!H17</f>
        <v>2500</v>
      </c>
      <c r="V8" s="18" t="str">
        <f>FOLHA!H25</f>
        <v>IRS</v>
      </c>
      <c r="W8" s="18" t="str">
        <f>FOLHA!H27</f>
        <v>VERDADEIRO</v>
      </c>
      <c r="XFA8" s="2" t="s">
        <v>19</v>
      </c>
      <c r="XFB8" s="2">
        <v>3</v>
      </c>
    </row>
    <row r="9" spans="1:23 16375:16384" x14ac:dyDescent="0.2">
      <c r="A9" s="4" t="s">
        <v>2</v>
      </c>
      <c r="B9" s="124">
        <f>'Mota Engil 2024-2029'!B20</f>
        <v>5</v>
      </c>
      <c r="C9" s="2" t="s">
        <v>66</v>
      </c>
      <c r="H9" s="488" t="s">
        <v>320</v>
      </c>
      <c r="I9" s="488"/>
      <c r="J9" s="488"/>
      <c r="K9" s="228">
        <f t="shared" si="0"/>
        <v>2.5</v>
      </c>
      <c r="M9" s="228">
        <v>2.5</v>
      </c>
      <c r="N9" s="228">
        <v>0</v>
      </c>
      <c r="O9" s="228">
        <v>0</v>
      </c>
      <c r="Q9" s="244">
        <f>N19</f>
        <v>0.51</v>
      </c>
      <c r="R9" s="245" t="str">
        <f>N4</f>
        <v>Com Impostos mas sem comissões</v>
      </c>
      <c r="T9" s="269" t="s">
        <v>356</v>
      </c>
      <c r="U9" s="18">
        <f>'FOLHA (CAS)'!H17</f>
        <v>1500</v>
      </c>
      <c r="V9" s="18" t="str">
        <f>'FOLHA (CAS)'!H25</f>
        <v>IRS</v>
      </c>
      <c r="W9" s="18" t="str">
        <f>'FOLHA (CAS)'!H27</f>
        <v>VERDADEIRO</v>
      </c>
      <c r="XFA9" s="2" t="s">
        <v>16</v>
      </c>
      <c r="XFB9" s="2">
        <v>4</v>
      </c>
    </row>
    <row r="10" spans="1:23 16375:16384" x14ac:dyDescent="0.2">
      <c r="A10" s="4" t="s">
        <v>3</v>
      </c>
      <c r="B10" s="51" t="s">
        <v>10</v>
      </c>
      <c r="H10" s="485" t="s">
        <v>316</v>
      </c>
      <c r="I10" s="486"/>
      <c r="J10" s="487"/>
      <c r="K10" s="227">
        <f t="shared" si="0"/>
        <v>0.04</v>
      </c>
      <c r="M10" s="227">
        <v>0.04</v>
      </c>
      <c r="N10" s="227">
        <v>0</v>
      </c>
      <c r="O10" s="227">
        <v>0</v>
      </c>
      <c r="Q10" s="244">
        <f>O19</f>
        <v>0</v>
      </c>
      <c r="R10" s="245" t="str">
        <f>O4</f>
        <v>Sem Impostos nem comissões</v>
      </c>
      <c r="T10" s="269" t="s">
        <v>357</v>
      </c>
      <c r="U10" s="18">
        <f>'FOLHA (Online)'!H17</f>
        <v>2500</v>
      </c>
      <c r="V10" s="18" t="str">
        <f>'FOLHA (Online)'!H25</f>
        <v>IRS</v>
      </c>
      <c r="W10" s="18" t="str">
        <f>'FOLHA (Online)'!H27</f>
        <v>VERDADEIRO</v>
      </c>
    </row>
    <row r="11" spans="1:23 16375:16384" x14ac:dyDescent="0.2">
      <c r="A11" s="4" t="s">
        <v>4</v>
      </c>
      <c r="B11" s="51" t="s">
        <v>16</v>
      </c>
      <c r="H11" s="488" t="s">
        <v>317</v>
      </c>
      <c r="I11" s="488"/>
      <c r="J11" s="488"/>
      <c r="K11" s="227">
        <f t="shared" si="0"/>
        <v>2E-3</v>
      </c>
      <c r="M11" s="227">
        <v>2E-3</v>
      </c>
      <c r="N11" s="227">
        <v>0</v>
      </c>
      <c r="O11" s="227">
        <v>0</v>
      </c>
      <c r="T11" s="269" t="s">
        <v>358</v>
      </c>
      <c r="U11" s="18">
        <f>'FOLHA (Troca)'!H17</f>
        <v>1000</v>
      </c>
      <c r="V11" s="18" t="str">
        <f>'FOLHA (Troca)'!H25</f>
        <v>IRS</v>
      </c>
      <c r="W11" s="18" t="str">
        <f>'FOLHA (Troca)'!H27</f>
        <v>FALSO</v>
      </c>
    </row>
    <row r="12" spans="1:23 16375:16384" x14ac:dyDescent="0.2">
      <c r="A12" s="4" t="s">
        <v>5</v>
      </c>
      <c r="B12" s="146">
        <f>'Mota Engil 2024-2029'!B21</f>
        <v>47407</v>
      </c>
      <c r="H12" s="488" t="s">
        <v>321</v>
      </c>
      <c r="I12" s="488"/>
      <c r="J12" s="488"/>
      <c r="K12" s="228">
        <f t="shared" si="0"/>
        <v>12.5</v>
      </c>
      <c r="M12" s="228">
        <v>12.5</v>
      </c>
      <c r="N12" s="228">
        <v>0</v>
      </c>
      <c r="O12" s="228">
        <v>0</v>
      </c>
    </row>
    <row r="13" spans="1:23 16375:16384" x14ac:dyDescent="0.2">
      <c r="A13" s="4" t="s">
        <v>6</v>
      </c>
      <c r="B13" s="147">
        <f>'Mota Engil 2024-2029'!B13</f>
        <v>250</v>
      </c>
      <c r="H13" s="488" t="s">
        <v>44</v>
      </c>
      <c r="I13" s="488"/>
      <c r="J13" s="488"/>
      <c r="K13" s="227">
        <f t="shared" si="0"/>
        <v>0.23</v>
      </c>
      <c r="M13" s="227">
        <v>0.23</v>
      </c>
      <c r="N13" s="227">
        <v>0.23</v>
      </c>
      <c r="O13" s="227">
        <v>0</v>
      </c>
    </row>
    <row r="14" spans="1:23 16375:16384" x14ac:dyDescent="0.2">
      <c r="A14" s="4" t="s">
        <v>7</v>
      </c>
      <c r="B14" s="148">
        <f>'Mota Engil 2024-2029'!B30</f>
        <v>45581</v>
      </c>
      <c r="D14" s="5"/>
      <c r="H14" s="488" t="s">
        <v>318</v>
      </c>
      <c r="I14" s="488"/>
      <c r="J14" s="488"/>
      <c r="K14" s="227">
        <f t="shared" si="0"/>
        <v>0.01</v>
      </c>
      <c r="M14" s="227">
        <v>0.01</v>
      </c>
      <c r="N14" s="227">
        <v>0</v>
      </c>
      <c r="O14" s="227">
        <v>0</v>
      </c>
    </row>
    <row r="15" spans="1:23 16375:16384" x14ac:dyDescent="0.2">
      <c r="A15" s="4" t="s">
        <v>8</v>
      </c>
      <c r="B15" s="149">
        <f>'Mota Engil 2024-2029'!B17</f>
        <v>45763</v>
      </c>
      <c r="H15" s="488" t="s">
        <v>322</v>
      </c>
      <c r="I15" s="488"/>
      <c r="J15" s="488"/>
      <c r="K15" s="228">
        <f t="shared" si="0"/>
        <v>5</v>
      </c>
      <c r="M15" s="228">
        <v>5</v>
      </c>
      <c r="N15" s="228">
        <v>0</v>
      </c>
      <c r="O15" s="228">
        <v>0</v>
      </c>
    </row>
    <row r="16" spans="1:23 16375:16384" x14ac:dyDescent="0.2">
      <c r="A16" s="4" t="s">
        <v>9</v>
      </c>
      <c r="B16" s="149">
        <f>B12</f>
        <v>47407</v>
      </c>
      <c r="D16" s="5"/>
      <c r="H16" s="488" t="s">
        <v>49</v>
      </c>
      <c r="I16" s="488"/>
      <c r="J16" s="488"/>
      <c r="K16" s="227">
        <f t="shared" si="0"/>
        <v>0.28000000000000003</v>
      </c>
      <c r="M16" s="227">
        <v>0.28000000000000003</v>
      </c>
      <c r="N16" s="227">
        <v>0.28000000000000003</v>
      </c>
      <c r="O16" s="227">
        <v>0</v>
      </c>
    </row>
    <row r="17" spans="1:17" x14ac:dyDescent="0.2">
      <c r="A17" s="4" t="s">
        <v>36</v>
      </c>
      <c r="B17" s="147">
        <f>'Mota Engil 2024-2029'!B6</f>
        <v>2500</v>
      </c>
      <c r="E17" s="3" t="s">
        <v>78</v>
      </c>
      <c r="H17" s="488" t="s">
        <v>53</v>
      </c>
      <c r="I17" s="488"/>
      <c r="J17" s="488"/>
      <c r="K17" s="227">
        <f t="shared" si="0"/>
        <v>0.25</v>
      </c>
      <c r="M17" s="227">
        <v>0.25</v>
      </c>
      <c r="N17" s="227">
        <v>0</v>
      </c>
      <c r="O17" s="227">
        <v>0</v>
      </c>
    </row>
    <row r="18" spans="1:17" x14ac:dyDescent="0.2">
      <c r="A18" s="4" t="s">
        <v>37</v>
      </c>
      <c r="B18" s="147">
        <f>'Mota Engil 2024-2029'!B3</f>
        <v>50000000</v>
      </c>
      <c r="H18" s="488" t="s">
        <v>319</v>
      </c>
      <c r="I18" s="488"/>
      <c r="J18" s="488"/>
      <c r="K18" s="228">
        <f t="shared" si="0"/>
        <v>7.5</v>
      </c>
      <c r="M18" s="228">
        <v>7.5</v>
      </c>
      <c r="N18" s="228">
        <v>0</v>
      </c>
      <c r="O18" s="228">
        <v>0</v>
      </c>
    </row>
    <row r="19" spans="1:17" x14ac:dyDescent="0.2">
      <c r="A19" s="4" t="s">
        <v>98</v>
      </c>
      <c r="B19" s="145">
        <f>'Mota Engil 2024-2029'!B25</f>
        <v>45565</v>
      </c>
      <c r="K19" s="244"/>
      <c r="L19" s="245"/>
      <c r="M19" s="244">
        <f>SUM(M8:M18)</f>
        <v>28.317</v>
      </c>
      <c r="N19" s="244">
        <f t="shared" ref="N19:O19" si="1">SUM(N8:N18)</f>
        <v>0.51</v>
      </c>
      <c r="O19" s="244">
        <f t="shared" si="1"/>
        <v>0</v>
      </c>
    </row>
    <row r="20" spans="1:17" x14ac:dyDescent="0.2">
      <c r="A20" s="4" t="s">
        <v>97</v>
      </c>
      <c r="B20" s="145">
        <f>'Mota Engil 2024-2029'!B28</f>
        <v>45576</v>
      </c>
      <c r="K20" s="245"/>
      <c r="L20" s="245"/>
      <c r="M20" s="245"/>
      <c r="N20" s="245"/>
      <c r="O20" s="245"/>
    </row>
    <row r="22" spans="1:17" x14ac:dyDescent="0.2">
      <c r="A22" s="119" t="s">
        <v>99</v>
      </c>
      <c r="B22" s="150" t="s">
        <v>101</v>
      </c>
      <c r="C22" s="118" t="s">
        <v>102</v>
      </c>
    </row>
    <row r="23" spans="1:17" x14ac:dyDescent="0.2">
      <c r="A23" s="119" t="str">
        <f>IF(B22="Total no Final","Amortização Única","1ª de Amortização")</f>
        <v>Amortização Única</v>
      </c>
      <c r="B23" s="151">
        <v>1</v>
      </c>
      <c r="C23" s="152">
        <v>47407</v>
      </c>
      <c r="O23" s="78"/>
      <c r="P23" s="125"/>
      <c r="Q23" s="8"/>
    </row>
    <row r="24" spans="1:17" x14ac:dyDescent="0.2">
      <c r="A24" s="119" t="str">
        <f>IF(B23=100%,"","2ª de Amortização")</f>
        <v/>
      </c>
      <c r="B24" s="151"/>
      <c r="C24" s="152"/>
    </row>
    <row r="25" spans="1:17" x14ac:dyDescent="0.2">
      <c r="A25" s="119" t="str">
        <f>IF(B23+B24=100%,"","3ª de Amortização")</f>
        <v/>
      </c>
      <c r="B25" s="151"/>
      <c r="C25" s="152"/>
    </row>
    <row r="26" spans="1:17" x14ac:dyDescent="0.2">
      <c r="A26" s="119" t="str">
        <f>IF(B23+B24+B25=100%,"","4ª de Amortização")</f>
        <v/>
      </c>
      <c r="B26" s="151"/>
      <c r="C26" s="152"/>
    </row>
    <row r="27" spans="1:17" x14ac:dyDescent="0.2">
      <c r="A27" s="119" t="str">
        <f>IF(B23+B24+B25+B26=100%,"","5ª de Amortização")</f>
        <v/>
      </c>
      <c r="B27" s="151"/>
      <c r="C27" s="152"/>
    </row>
    <row r="28" spans="1:17" x14ac:dyDescent="0.2">
      <c r="A28" s="119" t="str">
        <f>IF(B23+B24+B25+B26+B27=100%,"","6ª de Amortização")</f>
        <v/>
      </c>
      <c r="B28" s="151"/>
      <c r="C28" s="152"/>
    </row>
    <row r="29" spans="1:17" x14ac:dyDescent="0.2">
      <c r="A29" s="3" t="str">
        <f>IF(B29=100%,"Totalmente Amortizado",IF(B29&gt;100%,"ERRO - Amortização superior à Emissão","Amortizações em Falta"))</f>
        <v>Totalmente Amortizado</v>
      </c>
      <c r="B29" s="120">
        <f>SUM(B23:B28)</f>
        <v>1</v>
      </c>
    </row>
    <row r="31" spans="1:17" x14ac:dyDescent="0.2">
      <c r="A31" s="25" t="s">
        <v>13</v>
      </c>
      <c r="B31" s="24">
        <v>2</v>
      </c>
    </row>
    <row r="32" spans="1:17" x14ac:dyDescent="0.2">
      <c r="A32" s="25" t="s">
        <v>15</v>
      </c>
      <c r="B32" s="24">
        <f>IF(B10="semestral",6,1)</f>
        <v>6</v>
      </c>
    </row>
    <row r="33" spans="1:6" x14ac:dyDescent="0.2">
      <c r="A33" s="25" t="s">
        <v>14</v>
      </c>
      <c r="B33" s="24">
        <f>ROUND(B9*B31,0)</f>
        <v>10</v>
      </c>
    </row>
    <row r="35" spans="1:6" x14ac:dyDescent="0.2">
      <c r="A35" s="25" t="s">
        <v>22</v>
      </c>
      <c r="B35" s="268">
        <f>VLOOKUP(B4,$T$8:$W$11,2,FALSE)</f>
        <v>2500</v>
      </c>
    </row>
    <row r="36" spans="1:6" x14ac:dyDescent="0.2">
      <c r="A36" s="25" t="s">
        <v>370</v>
      </c>
      <c r="B36" s="43">
        <f>+B35/B13</f>
        <v>10</v>
      </c>
      <c r="C36" s="6"/>
      <c r="D36" s="7"/>
    </row>
    <row r="37" spans="1:6" x14ac:dyDescent="0.2">
      <c r="A37" s="25" t="s">
        <v>47</v>
      </c>
      <c r="B37" s="267" t="str">
        <f>VLOOKUP(B4,$T$8:$W$11,3,FALSE)</f>
        <v>IRS</v>
      </c>
      <c r="C37" s="229">
        <f>IF(B37="IRS",K16,K17)</f>
        <v>0.28000000000000003</v>
      </c>
      <c r="D37" s="7"/>
    </row>
    <row r="38" spans="1:6" x14ac:dyDescent="0.2">
      <c r="A38" s="25" t="s">
        <v>48</v>
      </c>
      <c r="B38" s="267" t="str">
        <f>VLOOKUP(B4,$T$8:$W$11,4,FALSE)</f>
        <v>VERDADEIRO</v>
      </c>
      <c r="C38" s="6"/>
      <c r="D38" s="7"/>
    </row>
    <row r="39" spans="1:6" x14ac:dyDescent="0.2">
      <c r="A39" s="25" t="s">
        <v>76</v>
      </c>
      <c r="B39" s="44">
        <f>VLOOKUP(B11,XFA6:XFB9,2,FALSE)</f>
        <v>4</v>
      </c>
      <c r="C39" s="6"/>
      <c r="D39" s="7"/>
    </row>
    <row r="41" spans="1:6" x14ac:dyDescent="0.2">
      <c r="A41" s="13"/>
      <c r="B41" s="13" t="s">
        <v>41</v>
      </c>
      <c r="C41" s="13" t="str">
        <f>A14</f>
        <v>Data de Liq.</v>
      </c>
      <c r="D41" s="24" t="s">
        <v>42</v>
      </c>
      <c r="E41" s="24" t="s">
        <v>43</v>
      </c>
      <c r="F41" s="24" t="s">
        <v>44</v>
      </c>
    </row>
    <row r="42" spans="1:6" x14ac:dyDescent="0.2">
      <c r="A42" s="25" t="s">
        <v>38</v>
      </c>
      <c r="B42" s="12">
        <f>-B35</f>
        <v>-2500</v>
      </c>
      <c r="C42" s="11">
        <f>B14</f>
        <v>45581</v>
      </c>
      <c r="D42" s="26">
        <f>-IF(-B42*K8&lt;K9,K9,-B42*K8)</f>
        <v>-12.5</v>
      </c>
      <c r="E42" s="26">
        <f>ROUND(D42*K10,2)</f>
        <v>-0.5</v>
      </c>
      <c r="F42" s="24" t="s">
        <v>67</v>
      </c>
    </row>
    <row r="43" spans="1:6" x14ac:dyDescent="0.2">
      <c r="A43" s="25" t="str">
        <f>A23</f>
        <v>Amortização Única</v>
      </c>
      <c r="B43" s="12">
        <f>IF(A43="","",VLOOKUP(A43,$A$23:$B$28,2,FALSE)*$B$35)</f>
        <v>2500</v>
      </c>
      <c r="C43" s="11">
        <f>IF(A43="","",VLOOKUP(A43,$A$23:$C$28,3,FALSE))</f>
        <v>47407</v>
      </c>
      <c r="D43" s="26">
        <f>IF(B43="","",-IF(B43*$K$11&lt;$K$12,$K$12,(B43*$K$11)))</f>
        <v>-12.5</v>
      </c>
      <c r="E43" s="24" t="s">
        <v>67</v>
      </c>
      <c r="F43" s="13">
        <f>IF(D43="","",ROUND(D43*$K$13,2))</f>
        <v>-2.88</v>
      </c>
    </row>
    <row r="44" spans="1:6" x14ac:dyDescent="0.2">
      <c r="A44" s="25" t="str">
        <f t="shared" ref="A44:A48" si="2">A24</f>
        <v/>
      </c>
      <c r="B44" s="12" t="str">
        <f t="shared" ref="B44:B48" si="3">IF(A44="","",VLOOKUP(A44,$A$23:$B$28,2,FALSE)*$B$35)</f>
        <v/>
      </c>
      <c r="C44" s="11" t="str">
        <f t="shared" ref="C44:C48" si="4">IF(A44="","",VLOOKUP(A44,$A$23:$C$28,3,FALSE))</f>
        <v/>
      </c>
      <c r="D44" s="26" t="str">
        <f t="shared" ref="D44:D48" si="5">IF(B44="","",-IF(B44*$K$11&lt;$K$12,$K$12,(B44*$K$11)))</f>
        <v/>
      </c>
      <c r="E44" s="24" t="s">
        <v>67</v>
      </c>
      <c r="F44" s="13" t="str">
        <f t="shared" ref="F44:F48" si="6">IF(D44="","",ROUND(D44*$K$13,2))</f>
        <v/>
      </c>
    </row>
    <row r="45" spans="1:6" x14ac:dyDescent="0.2">
      <c r="A45" s="25" t="str">
        <f t="shared" si="2"/>
        <v/>
      </c>
      <c r="B45" s="12" t="str">
        <f t="shared" si="3"/>
        <v/>
      </c>
      <c r="C45" s="11" t="str">
        <f t="shared" si="4"/>
        <v/>
      </c>
      <c r="D45" s="26" t="str">
        <f t="shared" si="5"/>
        <v/>
      </c>
      <c r="E45" s="24" t="s">
        <v>67</v>
      </c>
      <c r="F45" s="13" t="str">
        <f t="shared" si="6"/>
        <v/>
      </c>
    </row>
    <row r="46" spans="1:6" x14ac:dyDescent="0.2">
      <c r="A46" s="25" t="str">
        <f t="shared" si="2"/>
        <v/>
      </c>
      <c r="B46" s="12" t="str">
        <f t="shared" si="3"/>
        <v/>
      </c>
      <c r="C46" s="11" t="str">
        <f t="shared" si="4"/>
        <v/>
      </c>
      <c r="D46" s="26" t="str">
        <f t="shared" si="5"/>
        <v/>
      </c>
      <c r="E46" s="24" t="s">
        <v>67</v>
      </c>
      <c r="F46" s="13" t="str">
        <f t="shared" si="6"/>
        <v/>
      </c>
    </row>
    <row r="47" spans="1:6" x14ac:dyDescent="0.2">
      <c r="A47" s="25" t="str">
        <f t="shared" si="2"/>
        <v/>
      </c>
      <c r="B47" s="12" t="str">
        <f t="shared" si="3"/>
        <v/>
      </c>
      <c r="C47" s="11" t="str">
        <f t="shared" si="4"/>
        <v/>
      </c>
      <c r="D47" s="26" t="str">
        <f t="shared" si="5"/>
        <v/>
      </c>
      <c r="E47" s="24" t="s">
        <v>67</v>
      </c>
      <c r="F47" s="13" t="str">
        <f t="shared" si="6"/>
        <v/>
      </c>
    </row>
    <row r="48" spans="1:6" x14ac:dyDescent="0.2">
      <c r="A48" s="25" t="str">
        <f t="shared" si="2"/>
        <v/>
      </c>
      <c r="B48" s="12" t="str">
        <f t="shared" si="3"/>
        <v/>
      </c>
      <c r="C48" s="11" t="str">
        <f t="shared" si="4"/>
        <v/>
      </c>
      <c r="D48" s="26" t="str">
        <f t="shared" si="5"/>
        <v/>
      </c>
      <c r="E48" s="24" t="s">
        <v>67</v>
      </c>
      <c r="F48" s="13" t="str">
        <f t="shared" si="6"/>
        <v/>
      </c>
    </row>
    <row r="52" spans="1:21" x14ac:dyDescent="0.2">
      <c r="A52" s="225" t="s">
        <v>313</v>
      </c>
      <c r="B52" s="224"/>
      <c r="C52" s="226">
        <v>61</v>
      </c>
      <c r="D52" s="225" t="s">
        <v>314</v>
      </c>
      <c r="E52" s="224"/>
      <c r="F52" s="224"/>
    </row>
    <row r="53" spans="1:21" ht="19.5" x14ac:dyDescent="0.25">
      <c r="A53" s="467" t="s">
        <v>69</v>
      </c>
      <c r="B53" s="468"/>
      <c r="C53" s="468"/>
      <c r="D53" s="468"/>
      <c r="E53" s="468"/>
      <c r="F53" s="468"/>
      <c r="I53" s="481" t="s">
        <v>103</v>
      </c>
      <c r="J53" s="481"/>
      <c r="K53" s="481"/>
      <c r="L53" s="481"/>
      <c r="M53" s="481"/>
      <c r="N53" s="481"/>
      <c r="O53" s="481"/>
      <c r="Q53" s="481" t="s">
        <v>104</v>
      </c>
      <c r="R53" s="481"/>
      <c r="S53" s="481"/>
      <c r="T53" s="481"/>
      <c r="U53" s="481"/>
    </row>
    <row r="54" spans="1:21" x14ac:dyDescent="0.2">
      <c r="A54" s="491" t="s">
        <v>28</v>
      </c>
      <c r="B54" s="491"/>
      <c r="C54" s="491"/>
      <c r="D54" s="491"/>
      <c r="E54" s="50" t="s">
        <v>29</v>
      </c>
      <c r="F54" s="240" t="s">
        <v>325</v>
      </c>
      <c r="I54" s="480" t="str">
        <f>C41</f>
        <v>Data de Liq.</v>
      </c>
      <c r="J54" s="478" t="str">
        <f>A42</f>
        <v>Subscrição</v>
      </c>
      <c r="K54" s="478"/>
      <c r="L54" s="478"/>
      <c r="M54" s="479" t="str">
        <f>A43</f>
        <v>Amortização Única</v>
      </c>
      <c r="N54" s="479"/>
      <c r="O54" s="479"/>
      <c r="Q54" s="114" t="str">
        <f t="shared" ref="Q54:Q73" si="7">E54</f>
        <v># do Cupão</v>
      </c>
      <c r="R54" s="114" t="str">
        <f>A54</f>
        <v>Data dos Cupões</v>
      </c>
      <c r="S54" s="115" t="s">
        <v>105</v>
      </c>
      <c r="T54" s="116" t="s">
        <v>106</v>
      </c>
      <c r="U54" s="117" t="s">
        <v>107</v>
      </c>
    </row>
    <row r="55" spans="1:21" x14ac:dyDescent="0.2">
      <c r="A55" s="50">
        <f>DAY(B14)</f>
        <v>16</v>
      </c>
      <c r="B55" s="50">
        <f>MONTH(B14)</f>
        <v>10</v>
      </c>
      <c r="C55" s="50">
        <f>YEAR(B14)</f>
        <v>2024</v>
      </c>
      <c r="D55" s="52">
        <f>IF(A55="","",IF((DATE(C55,B55,A55))&gt;$B$16-$C$52,$B$16,(IF(A55="","",DATE(C55,B55,A55)))))</f>
        <v>45581</v>
      </c>
      <c r="E55" s="50">
        <v>0</v>
      </c>
      <c r="F55" s="240" t="str">
        <f>IF(E55="","",IF(E55=0,"",ABS(INT((MONTH(D55)-MONTH(D54))))))</f>
        <v/>
      </c>
      <c r="I55" s="480"/>
      <c r="J55" s="9" t="s">
        <v>41</v>
      </c>
      <c r="K55" s="9" t="s">
        <v>42</v>
      </c>
      <c r="L55" s="9" t="s">
        <v>43</v>
      </c>
      <c r="M55" s="10" t="s">
        <v>41</v>
      </c>
      <c r="N55" s="10" t="s">
        <v>42</v>
      </c>
      <c r="O55" s="10" t="s">
        <v>44</v>
      </c>
      <c r="Q55" s="13">
        <f t="shared" si="7"/>
        <v>0</v>
      </c>
      <c r="R55" s="113">
        <f t="shared" ref="R55:R73" si="8">D55</f>
        <v>45581</v>
      </c>
      <c r="S55" s="12">
        <f t="shared" ref="S55:S73" si="9">IF(Q55="","",IF(ISERROR(-VLOOKUP(R55,$I$56:$J$62,2,FALSE))=FALSE,-VLOOKUP(R55,$I$56:$J$62,2,FALSE),0))</f>
        <v>2500</v>
      </c>
      <c r="T55" s="12">
        <f t="shared" ref="T55:T73" si="10">IF(Q55="","",IF(ISERROR(VLOOKUP(R55,$I$56:$M$62,5,FALSE))=FALSE,VLOOKUP(R55,$I$56:$M$62,5,FALSE),0))</f>
        <v>0</v>
      </c>
      <c r="U55" s="12">
        <f>IF(T55="","",S55-T55)</f>
        <v>2500</v>
      </c>
    </row>
    <row r="56" spans="1:21" x14ac:dyDescent="0.2">
      <c r="A56" s="50">
        <f>IF(D55&gt;=$B$16,"",A55)</f>
        <v>16</v>
      </c>
      <c r="B56" s="50">
        <f t="shared" ref="B56:B73" si="11">IF(A56="","",IF(B55+$B$32&gt;12,B55+$B$32-12,B55+$B$32))</f>
        <v>4</v>
      </c>
      <c r="C56" s="50">
        <f>IF(A56="","",IF(B56&gt;B55,C55,C55+1))</f>
        <v>2025</v>
      </c>
      <c r="D56" s="52">
        <f t="shared" ref="D56:D73" si="12">IF(A56="","",IF((DATE(C56,B56,A56))&gt;$B$16-$C$52,$B$16,(IF(A56="","",DATE(C56,B56,A56)))))</f>
        <v>45763</v>
      </c>
      <c r="E56" s="50">
        <f>IF(A56="","",E55+1)</f>
        <v>1</v>
      </c>
      <c r="F56" s="240">
        <f>IF(E56="","",IF(E56=0,"",ABS(INT((MONTH(D56)-MONTH(D55))))))</f>
        <v>6</v>
      </c>
      <c r="I56" s="11">
        <f t="shared" ref="I56:I62" si="13">C42</f>
        <v>45581</v>
      </c>
      <c r="J56" s="12">
        <f>B42</f>
        <v>-2500</v>
      </c>
      <c r="K56" s="12">
        <f>D42</f>
        <v>-12.5</v>
      </c>
      <c r="L56" s="12">
        <f>E42</f>
        <v>-0.5</v>
      </c>
      <c r="M56" s="12"/>
      <c r="N56" s="12"/>
      <c r="O56" s="12"/>
      <c r="Q56" s="13">
        <f t="shared" si="7"/>
        <v>1</v>
      </c>
      <c r="R56" s="113">
        <f t="shared" si="8"/>
        <v>45763</v>
      </c>
      <c r="S56" s="12">
        <f t="shared" si="9"/>
        <v>0</v>
      </c>
      <c r="T56" s="12">
        <f t="shared" si="10"/>
        <v>0</v>
      </c>
      <c r="U56" s="12">
        <f>IF(T56="","",U55-T56)</f>
        <v>2500</v>
      </c>
    </row>
    <row r="57" spans="1:21" x14ac:dyDescent="0.2">
      <c r="A57" s="50">
        <f t="shared" ref="A57:A73" si="14">IF(D56&gt;=$B$16,"",A56)</f>
        <v>16</v>
      </c>
      <c r="B57" s="50">
        <f t="shared" si="11"/>
        <v>10</v>
      </c>
      <c r="C57" s="50">
        <f t="shared" ref="C57:C73" si="15">IF(A57="","",IF(B57&gt;B56,C56,C56+1))</f>
        <v>2025</v>
      </c>
      <c r="D57" s="52">
        <f t="shared" si="12"/>
        <v>45946</v>
      </c>
      <c r="E57" s="50">
        <f t="shared" ref="E57:E73" si="16">IF(A57="","",E56+1)</f>
        <v>2</v>
      </c>
      <c r="F57" s="240">
        <f t="shared" ref="F57:F73" si="17">IF(E57="","",IF(E57=0,"",ABS(INT((MONTH(D57)-MONTH(D56))))))</f>
        <v>6</v>
      </c>
      <c r="I57" s="11">
        <f t="shared" si="13"/>
        <v>47407</v>
      </c>
      <c r="J57" s="13"/>
      <c r="K57" s="12"/>
      <c r="L57" s="12"/>
      <c r="M57" s="12">
        <f t="shared" ref="M57:M62" si="18">B43</f>
        <v>2500</v>
      </c>
      <c r="N57" s="12">
        <f t="shared" ref="N57:N62" si="19">D43</f>
        <v>-12.5</v>
      </c>
      <c r="O57" s="12">
        <f t="shared" ref="O57:O62" si="20">F43</f>
        <v>-2.88</v>
      </c>
      <c r="Q57" s="13">
        <f t="shared" si="7"/>
        <v>2</v>
      </c>
      <c r="R57" s="113">
        <f t="shared" si="8"/>
        <v>45946</v>
      </c>
      <c r="S57" s="12">
        <f t="shared" si="9"/>
        <v>0</v>
      </c>
      <c r="T57" s="12">
        <f t="shared" si="10"/>
        <v>0</v>
      </c>
      <c r="U57" s="12">
        <f t="shared" ref="U57:U73" si="21">IF(T57="","",U56-T57)</f>
        <v>2500</v>
      </c>
    </row>
    <row r="58" spans="1:21" x14ac:dyDescent="0.2">
      <c r="A58" s="50">
        <f t="shared" si="14"/>
        <v>16</v>
      </c>
      <c r="B58" s="50">
        <f t="shared" si="11"/>
        <v>4</v>
      </c>
      <c r="C58" s="50">
        <f t="shared" si="15"/>
        <v>2026</v>
      </c>
      <c r="D58" s="52">
        <f t="shared" si="12"/>
        <v>46128</v>
      </c>
      <c r="E58" s="50">
        <f t="shared" si="16"/>
        <v>3</v>
      </c>
      <c r="F58" s="240">
        <f t="shared" si="17"/>
        <v>6</v>
      </c>
      <c r="I58" s="11" t="str">
        <f t="shared" si="13"/>
        <v/>
      </c>
      <c r="J58" s="13"/>
      <c r="K58" s="12"/>
      <c r="L58" s="12"/>
      <c r="M58" s="12" t="str">
        <f t="shared" si="18"/>
        <v/>
      </c>
      <c r="N58" s="12" t="str">
        <f t="shared" si="19"/>
        <v/>
      </c>
      <c r="O58" s="12" t="str">
        <f t="shared" si="20"/>
        <v/>
      </c>
      <c r="Q58" s="13">
        <f t="shared" si="7"/>
        <v>3</v>
      </c>
      <c r="R58" s="113">
        <f t="shared" si="8"/>
        <v>46128</v>
      </c>
      <c r="S58" s="12">
        <f t="shared" si="9"/>
        <v>0</v>
      </c>
      <c r="T58" s="12">
        <f t="shared" si="10"/>
        <v>0</v>
      </c>
      <c r="U58" s="12">
        <f t="shared" si="21"/>
        <v>2500</v>
      </c>
    </row>
    <row r="59" spans="1:21" x14ac:dyDescent="0.2">
      <c r="A59" s="50">
        <f t="shared" si="14"/>
        <v>16</v>
      </c>
      <c r="B59" s="50">
        <f t="shared" si="11"/>
        <v>10</v>
      </c>
      <c r="C59" s="50">
        <f t="shared" si="15"/>
        <v>2026</v>
      </c>
      <c r="D59" s="52">
        <f t="shared" si="12"/>
        <v>46311</v>
      </c>
      <c r="E59" s="50">
        <f t="shared" si="16"/>
        <v>4</v>
      </c>
      <c r="F59" s="240">
        <f t="shared" si="17"/>
        <v>6</v>
      </c>
      <c r="I59" s="11" t="str">
        <f t="shared" si="13"/>
        <v/>
      </c>
      <c r="J59" s="13"/>
      <c r="K59" s="12"/>
      <c r="L59" s="12"/>
      <c r="M59" s="12" t="str">
        <f t="shared" si="18"/>
        <v/>
      </c>
      <c r="N59" s="12" t="str">
        <f t="shared" si="19"/>
        <v/>
      </c>
      <c r="O59" s="12" t="str">
        <f t="shared" si="20"/>
        <v/>
      </c>
      <c r="Q59" s="13">
        <f t="shared" si="7"/>
        <v>4</v>
      </c>
      <c r="R59" s="113">
        <f t="shared" si="8"/>
        <v>46311</v>
      </c>
      <c r="S59" s="12">
        <f t="shared" si="9"/>
        <v>0</v>
      </c>
      <c r="T59" s="12">
        <f t="shared" si="10"/>
        <v>0</v>
      </c>
      <c r="U59" s="12">
        <f t="shared" si="21"/>
        <v>2500</v>
      </c>
    </row>
    <row r="60" spans="1:21" x14ac:dyDescent="0.2">
      <c r="A60" s="50">
        <f t="shared" si="14"/>
        <v>16</v>
      </c>
      <c r="B60" s="50">
        <f t="shared" si="11"/>
        <v>4</v>
      </c>
      <c r="C60" s="50">
        <f t="shared" si="15"/>
        <v>2027</v>
      </c>
      <c r="D60" s="52">
        <f t="shared" si="12"/>
        <v>46493</v>
      </c>
      <c r="E60" s="50">
        <f t="shared" si="16"/>
        <v>5</v>
      </c>
      <c r="F60" s="240">
        <f t="shared" si="17"/>
        <v>6</v>
      </c>
      <c r="I60" s="11" t="str">
        <f t="shared" si="13"/>
        <v/>
      </c>
      <c r="J60" s="13"/>
      <c r="K60" s="12"/>
      <c r="L60" s="12"/>
      <c r="M60" s="12" t="str">
        <f t="shared" si="18"/>
        <v/>
      </c>
      <c r="N60" s="12" t="str">
        <f t="shared" si="19"/>
        <v/>
      </c>
      <c r="O60" s="12" t="str">
        <f t="shared" si="20"/>
        <v/>
      </c>
      <c r="Q60" s="13">
        <f t="shared" si="7"/>
        <v>5</v>
      </c>
      <c r="R60" s="113">
        <f t="shared" si="8"/>
        <v>46493</v>
      </c>
      <c r="S60" s="12">
        <f t="shared" si="9"/>
        <v>0</v>
      </c>
      <c r="T60" s="12">
        <f t="shared" si="10"/>
        <v>0</v>
      </c>
      <c r="U60" s="12">
        <f t="shared" si="21"/>
        <v>2500</v>
      </c>
    </row>
    <row r="61" spans="1:21" x14ac:dyDescent="0.2">
      <c r="A61" s="50">
        <f t="shared" si="14"/>
        <v>16</v>
      </c>
      <c r="B61" s="50">
        <f t="shared" si="11"/>
        <v>10</v>
      </c>
      <c r="C61" s="50">
        <f t="shared" si="15"/>
        <v>2027</v>
      </c>
      <c r="D61" s="52">
        <f t="shared" si="12"/>
        <v>46676</v>
      </c>
      <c r="E61" s="50">
        <f t="shared" si="16"/>
        <v>6</v>
      </c>
      <c r="F61" s="240">
        <f t="shared" si="17"/>
        <v>6</v>
      </c>
      <c r="I61" s="11" t="str">
        <f t="shared" si="13"/>
        <v/>
      </c>
      <c r="J61" s="13"/>
      <c r="K61" s="12"/>
      <c r="L61" s="12"/>
      <c r="M61" s="12" t="str">
        <f t="shared" si="18"/>
        <v/>
      </c>
      <c r="N61" s="12" t="str">
        <f t="shared" si="19"/>
        <v/>
      </c>
      <c r="O61" s="12" t="str">
        <f t="shared" si="20"/>
        <v/>
      </c>
      <c r="Q61" s="13">
        <f t="shared" si="7"/>
        <v>6</v>
      </c>
      <c r="R61" s="113">
        <f t="shared" si="8"/>
        <v>46676</v>
      </c>
      <c r="S61" s="12">
        <f t="shared" si="9"/>
        <v>0</v>
      </c>
      <c r="T61" s="12">
        <f t="shared" si="10"/>
        <v>0</v>
      </c>
      <c r="U61" s="12">
        <f t="shared" si="21"/>
        <v>2500</v>
      </c>
    </row>
    <row r="62" spans="1:21" x14ac:dyDescent="0.2">
      <c r="A62" s="50">
        <f t="shared" si="14"/>
        <v>16</v>
      </c>
      <c r="B62" s="50">
        <f t="shared" si="11"/>
        <v>4</v>
      </c>
      <c r="C62" s="50">
        <f t="shared" si="15"/>
        <v>2028</v>
      </c>
      <c r="D62" s="52">
        <f t="shared" si="12"/>
        <v>46859</v>
      </c>
      <c r="E62" s="50">
        <f t="shared" si="16"/>
        <v>7</v>
      </c>
      <c r="F62" s="240">
        <f t="shared" si="17"/>
        <v>6</v>
      </c>
      <c r="I62" s="11" t="str">
        <f t="shared" si="13"/>
        <v/>
      </c>
      <c r="J62" s="13"/>
      <c r="K62" s="12"/>
      <c r="L62" s="12"/>
      <c r="M62" s="12" t="str">
        <f t="shared" si="18"/>
        <v/>
      </c>
      <c r="N62" s="12" t="str">
        <f t="shared" si="19"/>
        <v/>
      </c>
      <c r="O62" s="12" t="str">
        <f t="shared" si="20"/>
        <v/>
      </c>
      <c r="Q62" s="13">
        <f t="shared" si="7"/>
        <v>7</v>
      </c>
      <c r="R62" s="113">
        <f t="shared" si="8"/>
        <v>46859</v>
      </c>
      <c r="S62" s="12">
        <f t="shared" si="9"/>
        <v>0</v>
      </c>
      <c r="T62" s="12">
        <f t="shared" si="10"/>
        <v>0</v>
      </c>
      <c r="U62" s="12">
        <f t="shared" si="21"/>
        <v>2500</v>
      </c>
    </row>
    <row r="63" spans="1:21" x14ac:dyDescent="0.2">
      <c r="A63" s="50">
        <f t="shared" si="14"/>
        <v>16</v>
      </c>
      <c r="B63" s="50">
        <f t="shared" si="11"/>
        <v>10</v>
      </c>
      <c r="C63" s="50">
        <f t="shared" si="15"/>
        <v>2028</v>
      </c>
      <c r="D63" s="52">
        <f t="shared" si="12"/>
        <v>47042</v>
      </c>
      <c r="E63" s="50">
        <f t="shared" si="16"/>
        <v>8</v>
      </c>
      <c r="F63" s="240">
        <f t="shared" si="17"/>
        <v>6</v>
      </c>
      <c r="Q63" s="13">
        <f t="shared" si="7"/>
        <v>8</v>
      </c>
      <c r="R63" s="113">
        <f t="shared" si="8"/>
        <v>47042</v>
      </c>
      <c r="S63" s="12">
        <f t="shared" si="9"/>
        <v>0</v>
      </c>
      <c r="T63" s="12">
        <f t="shared" si="10"/>
        <v>0</v>
      </c>
      <c r="U63" s="12">
        <f t="shared" si="21"/>
        <v>2500</v>
      </c>
    </row>
    <row r="64" spans="1:21" x14ac:dyDescent="0.2">
      <c r="A64" s="50">
        <f t="shared" si="14"/>
        <v>16</v>
      </c>
      <c r="B64" s="50">
        <f t="shared" si="11"/>
        <v>4</v>
      </c>
      <c r="C64" s="50">
        <f t="shared" si="15"/>
        <v>2029</v>
      </c>
      <c r="D64" s="52">
        <f t="shared" si="12"/>
        <v>47224</v>
      </c>
      <c r="E64" s="50">
        <f t="shared" si="16"/>
        <v>9</v>
      </c>
      <c r="F64" s="240">
        <f t="shared" si="17"/>
        <v>6</v>
      </c>
      <c r="G64" s="8"/>
      <c r="J64" s="8"/>
      <c r="Q64" s="13">
        <f t="shared" si="7"/>
        <v>9</v>
      </c>
      <c r="R64" s="113">
        <f t="shared" si="8"/>
        <v>47224</v>
      </c>
      <c r="S64" s="12">
        <f t="shared" si="9"/>
        <v>0</v>
      </c>
      <c r="T64" s="12">
        <f t="shared" si="10"/>
        <v>0</v>
      </c>
      <c r="U64" s="12">
        <f t="shared" si="21"/>
        <v>2500</v>
      </c>
    </row>
    <row r="65" spans="1:28" x14ac:dyDescent="0.2">
      <c r="A65" s="50">
        <f t="shared" si="14"/>
        <v>16</v>
      </c>
      <c r="B65" s="50">
        <f t="shared" si="11"/>
        <v>10</v>
      </c>
      <c r="C65" s="50">
        <f t="shared" si="15"/>
        <v>2029</v>
      </c>
      <c r="D65" s="52">
        <f t="shared" si="12"/>
        <v>47407</v>
      </c>
      <c r="E65" s="50">
        <f t="shared" si="16"/>
        <v>10</v>
      </c>
      <c r="F65" s="240">
        <f t="shared" si="17"/>
        <v>6</v>
      </c>
      <c r="G65" s="8"/>
      <c r="I65" s="308"/>
      <c r="J65" s="8"/>
      <c r="Q65" s="13">
        <f t="shared" si="7"/>
        <v>10</v>
      </c>
      <c r="R65" s="113">
        <f t="shared" si="8"/>
        <v>47407</v>
      </c>
      <c r="S65" s="12">
        <f t="shared" si="9"/>
        <v>0</v>
      </c>
      <c r="T65" s="12">
        <f t="shared" si="10"/>
        <v>2500</v>
      </c>
      <c r="U65" s="12">
        <f t="shared" si="21"/>
        <v>0</v>
      </c>
    </row>
    <row r="66" spans="1:28" x14ac:dyDescent="0.2">
      <c r="A66" s="50" t="str">
        <f t="shared" si="14"/>
        <v/>
      </c>
      <c r="B66" s="50" t="str">
        <f t="shared" si="11"/>
        <v/>
      </c>
      <c r="C66" s="50" t="str">
        <f t="shared" si="15"/>
        <v/>
      </c>
      <c r="D66" s="52" t="str">
        <f t="shared" si="12"/>
        <v/>
      </c>
      <c r="E66" s="50" t="str">
        <f t="shared" si="16"/>
        <v/>
      </c>
      <c r="F66" s="240" t="str">
        <f t="shared" si="17"/>
        <v/>
      </c>
      <c r="G66" s="8"/>
      <c r="J66" s="8"/>
      <c r="Q66" s="13" t="str">
        <f t="shared" si="7"/>
        <v/>
      </c>
      <c r="R66" s="113" t="str">
        <f t="shared" si="8"/>
        <v/>
      </c>
      <c r="S66" s="12" t="str">
        <f t="shared" si="9"/>
        <v/>
      </c>
      <c r="T66" s="12" t="str">
        <f t="shared" si="10"/>
        <v/>
      </c>
      <c r="U66" s="12" t="str">
        <f t="shared" si="21"/>
        <v/>
      </c>
    </row>
    <row r="67" spans="1:28" x14ac:dyDescent="0.2">
      <c r="A67" s="50" t="str">
        <f t="shared" si="14"/>
        <v/>
      </c>
      <c r="B67" s="50" t="str">
        <f t="shared" si="11"/>
        <v/>
      </c>
      <c r="C67" s="50" t="str">
        <f t="shared" si="15"/>
        <v/>
      </c>
      <c r="D67" s="52" t="str">
        <f t="shared" si="12"/>
        <v/>
      </c>
      <c r="E67" s="50" t="str">
        <f t="shared" si="16"/>
        <v/>
      </c>
      <c r="F67" s="240" t="str">
        <f t="shared" si="17"/>
        <v/>
      </c>
      <c r="G67" s="8"/>
      <c r="J67" s="8"/>
      <c r="Q67" s="13" t="str">
        <f t="shared" si="7"/>
        <v/>
      </c>
      <c r="R67" s="113" t="str">
        <f t="shared" si="8"/>
        <v/>
      </c>
      <c r="S67" s="12" t="str">
        <f t="shared" si="9"/>
        <v/>
      </c>
      <c r="T67" s="12" t="str">
        <f t="shared" si="10"/>
        <v/>
      </c>
      <c r="U67" s="12" t="str">
        <f t="shared" si="21"/>
        <v/>
      </c>
    </row>
    <row r="68" spans="1:28" x14ac:dyDescent="0.2">
      <c r="A68" s="50" t="str">
        <f t="shared" si="14"/>
        <v/>
      </c>
      <c r="B68" s="50" t="str">
        <f t="shared" si="11"/>
        <v/>
      </c>
      <c r="C68" s="50" t="str">
        <f t="shared" si="15"/>
        <v/>
      </c>
      <c r="D68" s="52" t="str">
        <f t="shared" si="12"/>
        <v/>
      </c>
      <c r="E68" s="50" t="str">
        <f t="shared" si="16"/>
        <v/>
      </c>
      <c r="F68" s="240" t="str">
        <f t="shared" si="17"/>
        <v/>
      </c>
      <c r="G68" s="8"/>
      <c r="H68" s="219"/>
      <c r="I68" s="285"/>
      <c r="J68" s="8"/>
      <c r="Q68" s="13" t="str">
        <f t="shared" si="7"/>
        <v/>
      </c>
      <c r="R68" s="113" t="str">
        <f t="shared" si="8"/>
        <v/>
      </c>
      <c r="S68" s="12" t="str">
        <f t="shared" si="9"/>
        <v/>
      </c>
      <c r="T68" s="12" t="str">
        <f t="shared" si="10"/>
        <v/>
      </c>
      <c r="U68" s="12" t="str">
        <f t="shared" si="21"/>
        <v/>
      </c>
    </row>
    <row r="69" spans="1:28" x14ac:dyDescent="0.2">
      <c r="A69" s="50" t="str">
        <f t="shared" si="14"/>
        <v/>
      </c>
      <c r="B69" s="50" t="str">
        <f t="shared" si="11"/>
        <v/>
      </c>
      <c r="C69" s="50" t="str">
        <f t="shared" si="15"/>
        <v/>
      </c>
      <c r="D69" s="52" t="str">
        <f t="shared" si="12"/>
        <v/>
      </c>
      <c r="E69" s="50" t="str">
        <f t="shared" si="16"/>
        <v/>
      </c>
      <c r="F69" s="240" t="str">
        <f t="shared" si="17"/>
        <v/>
      </c>
      <c r="G69" s="8"/>
      <c r="J69" s="8"/>
      <c r="Q69" s="13" t="str">
        <f t="shared" si="7"/>
        <v/>
      </c>
      <c r="R69" s="113" t="str">
        <f t="shared" si="8"/>
        <v/>
      </c>
      <c r="S69" s="12" t="str">
        <f t="shared" si="9"/>
        <v/>
      </c>
      <c r="T69" s="12" t="str">
        <f t="shared" si="10"/>
        <v/>
      </c>
      <c r="U69" s="12" t="str">
        <f t="shared" si="21"/>
        <v/>
      </c>
    </row>
    <row r="70" spans="1:28" x14ac:dyDescent="0.2">
      <c r="A70" s="50" t="str">
        <f t="shared" si="14"/>
        <v/>
      </c>
      <c r="B70" s="50" t="str">
        <f t="shared" si="11"/>
        <v/>
      </c>
      <c r="C70" s="50" t="str">
        <f t="shared" si="15"/>
        <v/>
      </c>
      <c r="D70" s="52" t="str">
        <f t="shared" si="12"/>
        <v/>
      </c>
      <c r="E70" s="50" t="str">
        <f t="shared" si="16"/>
        <v/>
      </c>
      <c r="F70" s="240" t="str">
        <f t="shared" si="17"/>
        <v/>
      </c>
      <c r="G70" s="8"/>
      <c r="J70" s="8"/>
      <c r="Q70" s="13" t="str">
        <f t="shared" si="7"/>
        <v/>
      </c>
      <c r="R70" s="113" t="str">
        <f t="shared" si="8"/>
        <v/>
      </c>
      <c r="S70" s="12" t="str">
        <f t="shared" si="9"/>
        <v/>
      </c>
      <c r="T70" s="12" t="str">
        <f t="shared" si="10"/>
        <v/>
      </c>
      <c r="U70" s="12" t="str">
        <f t="shared" si="21"/>
        <v/>
      </c>
    </row>
    <row r="71" spans="1:28" x14ac:dyDescent="0.2">
      <c r="A71" s="50" t="str">
        <f t="shared" si="14"/>
        <v/>
      </c>
      <c r="B71" s="50" t="str">
        <f t="shared" si="11"/>
        <v/>
      </c>
      <c r="C71" s="50" t="str">
        <f t="shared" si="15"/>
        <v/>
      </c>
      <c r="D71" s="52" t="str">
        <f t="shared" si="12"/>
        <v/>
      </c>
      <c r="E71" s="50" t="str">
        <f t="shared" si="16"/>
        <v/>
      </c>
      <c r="F71" s="240" t="str">
        <f t="shared" si="17"/>
        <v/>
      </c>
      <c r="G71" s="8"/>
      <c r="J71" s="8"/>
      <c r="Q71" s="13" t="str">
        <f t="shared" si="7"/>
        <v/>
      </c>
      <c r="R71" s="113" t="str">
        <f t="shared" si="8"/>
        <v/>
      </c>
      <c r="S71" s="12" t="str">
        <f t="shared" si="9"/>
        <v/>
      </c>
      <c r="T71" s="12" t="str">
        <f t="shared" si="10"/>
        <v/>
      </c>
      <c r="U71" s="12" t="str">
        <f t="shared" si="21"/>
        <v/>
      </c>
    </row>
    <row r="72" spans="1:28" x14ac:dyDescent="0.2">
      <c r="A72" s="50" t="str">
        <f t="shared" si="14"/>
        <v/>
      </c>
      <c r="B72" s="50" t="str">
        <f t="shared" si="11"/>
        <v/>
      </c>
      <c r="C72" s="50" t="str">
        <f t="shared" si="15"/>
        <v/>
      </c>
      <c r="D72" s="52" t="str">
        <f t="shared" si="12"/>
        <v/>
      </c>
      <c r="E72" s="50" t="str">
        <f t="shared" si="16"/>
        <v/>
      </c>
      <c r="F72" s="240" t="str">
        <f t="shared" si="17"/>
        <v/>
      </c>
      <c r="G72" s="8"/>
      <c r="J72" s="8"/>
      <c r="K72" s="307"/>
      <c r="Q72" s="13" t="str">
        <f t="shared" si="7"/>
        <v/>
      </c>
      <c r="R72" s="113" t="str">
        <f t="shared" si="8"/>
        <v/>
      </c>
      <c r="S72" s="12" t="str">
        <f t="shared" si="9"/>
        <v/>
      </c>
      <c r="T72" s="12" t="str">
        <f t="shared" si="10"/>
        <v/>
      </c>
      <c r="U72" s="12" t="str">
        <f t="shared" si="21"/>
        <v/>
      </c>
    </row>
    <row r="73" spans="1:28" x14ac:dyDescent="0.2">
      <c r="A73" s="50" t="str">
        <f t="shared" si="14"/>
        <v/>
      </c>
      <c r="B73" s="50" t="str">
        <f t="shared" si="11"/>
        <v/>
      </c>
      <c r="C73" s="50" t="str">
        <f t="shared" si="15"/>
        <v/>
      </c>
      <c r="D73" s="52" t="str">
        <f t="shared" si="12"/>
        <v/>
      </c>
      <c r="E73" s="50" t="str">
        <f t="shared" si="16"/>
        <v/>
      </c>
      <c r="F73" s="239" t="str">
        <f t="shared" si="17"/>
        <v/>
      </c>
      <c r="H73" s="2" t="s">
        <v>379</v>
      </c>
      <c r="I73" s="305"/>
      <c r="K73" s="306"/>
      <c r="Q73" s="13" t="str">
        <f t="shared" si="7"/>
        <v/>
      </c>
      <c r="R73" s="113" t="str">
        <f t="shared" si="8"/>
        <v/>
      </c>
      <c r="S73" s="12" t="str">
        <f t="shared" si="9"/>
        <v/>
      </c>
      <c r="T73" s="12" t="str">
        <f t="shared" si="10"/>
        <v/>
      </c>
      <c r="U73" s="12" t="str">
        <f t="shared" si="21"/>
        <v/>
      </c>
    </row>
    <row r="74" spans="1:28" x14ac:dyDescent="0.2">
      <c r="A74" s="111"/>
      <c r="B74" s="111"/>
      <c r="C74" s="111"/>
      <c r="D74" s="112"/>
      <c r="E74" s="111"/>
      <c r="F74" s="235"/>
      <c r="H74" s="286" t="s">
        <v>380</v>
      </c>
    </row>
    <row r="76" spans="1:28" ht="19.5" x14ac:dyDescent="0.25">
      <c r="A76" s="225" t="s">
        <v>312</v>
      </c>
      <c r="B76" s="224"/>
      <c r="C76" s="226">
        <v>5</v>
      </c>
      <c r="D76" s="224" t="s">
        <v>377</v>
      </c>
      <c r="E76" s="224"/>
      <c r="F76" s="330" t="s">
        <v>379</v>
      </c>
      <c r="G76" s="224"/>
      <c r="H76" s="224"/>
      <c r="J76" s="489" t="s">
        <v>71</v>
      </c>
      <c r="K76" s="489"/>
      <c r="L76" s="489"/>
      <c r="M76" s="489"/>
      <c r="N76" s="489"/>
      <c r="O76" s="489"/>
      <c r="P76" s="489"/>
      <c r="Q76" s="489"/>
    </row>
    <row r="77" spans="1:28" ht="19.5" x14ac:dyDescent="0.25">
      <c r="A77" s="495" t="s">
        <v>70</v>
      </c>
      <c r="B77" s="489"/>
      <c r="C77" s="489"/>
      <c r="D77" s="489"/>
      <c r="E77" s="489"/>
      <c r="F77" s="489"/>
      <c r="G77" s="489"/>
      <c r="H77" s="489"/>
      <c r="J77" s="496" t="s">
        <v>23</v>
      </c>
      <c r="K77" s="497"/>
      <c r="L77" s="500" t="s">
        <v>26</v>
      </c>
      <c r="M77" s="501"/>
      <c r="N77" s="502"/>
      <c r="O77" s="490" t="s">
        <v>24</v>
      </c>
      <c r="P77" s="490"/>
      <c r="Q77" s="490"/>
      <c r="S77" s="489" t="s">
        <v>31</v>
      </c>
      <c r="T77" s="489"/>
      <c r="U77" s="489"/>
      <c r="V77" s="489"/>
      <c r="W77" s="489"/>
      <c r="X77" s="489"/>
      <c r="Z77" s="2" t="s">
        <v>376</v>
      </c>
    </row>
    <row r="78" spans="1:28" x14ac:dyDescent="0.2">
      <c r="A78" s="15" t="s">
        <v>30</v>
      </c>
      <c r="B78" s="309" t="s">
        <v>371</v>
      </c>
      <c r="C78" s="309" t="s">
        <v>372</v>
      </c>
      <c r="D78" s="309" t="s">
        <v>20</v>
      </c>
      <c r="E78" s="309" t="s">
        <v>21</v>
      </c>
      <c r="F78" s="309" t="str">
        <f>B37</f>
        <v>IRS</v>
      </c>
      <c r="G78" s="309" t="s">
        <v>42</v>
      </c>
      <c r="H78" s="309" t="s">
        <v>44</v>
      </c>
      <c r="J78" s="498"/>
      <c r="K78" s="499"/>
      <c r="L78" s="503"/>
      <c r="M78" s="504"/>
      <c r="N78" s="505"/>
      <c r="O78" s="14" t="s">
        <v>11</v>
      </c>
      <c r="P78" s="14">
        <v>360</v>
      </c>
      <c r="Q78" s="14">
        <v>365</v>
      </c>
      <c r="S78" s="506" t="s">
        <v>25</v>
      </c>
      <c r="T78" s="506"/>
      <c r="U78" s="506"/>
      <c r="V78" s="506"/>
      <c r="W78" s="507" t="s">
        <v>31</v>
      </c>
      <c r="X78" s="508"/>
      <c r="Z78" s="328" t="s">
        <v>4</v>
      </c>
      <c r="AA78" s="328" t="s">
        <v>323</v>
      </c>
      <c r="AB78" s="328" t="s">
        <v>254</v>
      </c>
    </row>
    <row r="79" spans="1:28" x14ac:dyDescent="0.2">
      <c r="A79" s="50"/>
      <c r="B79" s="16">
        <f t="shared" ref="B79:B95" si="22">D55</f>
        <v>45581</v>
      </c>
      <c r="C79" s="16">
        <f>B79</f>
        <v>45581</v>
      </c>
      <c r="D79" s="309" t="s">
        <v>67</v>
      </c>
      <c r="E79" s="309" t="s">
        <v>67</v>
      </c>
      <c r="F79" s="309" t="s">
        <v>67</v>
      </c>
      <c r="G79" s="309" t="s">
        <v>67</v>
      </c>
      <c r="H79" s="309" t="s">
        <v>67</v>
      </c>
      <c r="J79" s="17" t="s">
        <v>11</v>
      </c>
      <c r="K79" s="17">
        <v>30</v>
      </c>
      <c r="L79" s="18">
        <f>IF(A78="","",YEAR(B79))</f>
        <v>2024</v>
      </c>
      <c r="M79" s="19">
        <f>IF(L79="","",DATE(L79,1,1))</f>
        <v>45292</v>
      </c>
      <c r="N79" s="19">
        <f>IF(L79="","",DATE(L79,12,31))</f>
        <v>45657</v>
      </c>
      <c r="O79" s="20">
        <f>IF(N79="","",_xlfn.DAYS(N79,M79)+1)</f>
        <v>366</v>
      </c>
      <c r="P79" s="20">
        <f>IF(N79="","",360)</f>
        <v>360</v>
      </c>
      <c r="Q79" s="20">
        <f>IF(N79="","",365)</f>
        <v>365</v>
      </c>
      <c r="S79" s="21" t="s">
        <v>16</v>
      </c>
      <c r="T79" s="21" t="s">
        <v>17</v>
      </c>
      <c r="U79" s="21" t="s">
        <v>18</v>
      </c>
      <c r="V79" s="21" t="s">
        <v>19</v>
      </c>
      <c r="W79" s="326"/>
      <c r="X79" s="327"/>
      <c r="Z79" s="329" t="s">
        <v>18</v>
      </c>
      <c r="AA79" s="329">
        <v>1</v>
      </c>
      <c r="AB79" s="329"/>
    </row>
    <row r="80" spans="1:28" x14ac:dyDescent="0.2">
      <c r="A80" s="50">
        <f t="shared" ref="A80:A95" si="23">E56</f>
        <v>1</v>
      </c>
      <c r="B80" s="53">
        <f t="shared" si="22"/>
        <v>45763</v>
      </c>
      <c r="C80" s="53">
        <f>IF(A80="","",IF($F$76="Data Juro",B80,IF(WEEKDAY(EDATE($C$79,6*$A80))=1, EDATE($C$79,6*$A80)+1,IF(WEEKDAY(EDATE($C$79,6*$A80))=7,EDATE($C$79,6*$A80)+2,EDATE($C$79,6*$A80)))))</f>
        <v>45763</v>
      </c>
      <c r="D80" s="54">
        <f>IF(A80="","",(VLOOKUP(A80,$A$80:$W$95,23,FALSE)))</f>
        <v>0.5</v>
      </c>
      <c r="E80" s="22">
        <f t="shared" ref="E80:E95" si="24">IF(A80="","",ROUND(VLOOKUP((A80-1),$Q$55:$U$73,5,FALSE)*$B$8*D80,$C$76))</f>
        <v>62.5</v>
      </c>
      <c r="F80" s="22">
        <f t="shared" ref="F80:F95" si="25">IF(E80="","",-ROUND(E80*(IF($F$78="IRS",$K$16,IF($F$78="IRC",$K$17,""))),$C$76))</f>
        <v>-17.5</v>
      </c>
      <c r="G80" s="22">
        <f>IF(E80="","",-ROUND(IF(E80*$K$14&lt;$K$15,$K$15,E80*$K$14),2))</f>
        <v>-5</v>
      </c>
      <c r="H80" s="22">
        <f>IF(E80="","",ROUND(G80*$K$13,2))</f>
        <v>-1.1499999999999999</v>
      </c>
      <c r="J80" s="55">
        <f t="shared" ref="J80:J95" si="26">IF(A80="","",_xlfn.DAYS(B80,B79))</f>
        <v>182</v>
      </c>
      <c r="K80" s="55">
        <f t="shared" ref="K80:K95" si="27">IF(A80="","",DAYS360(B79,B80,TRUE))</f>
        <v>180</v>
      </c>
      <c r="L80" s="18">
        <f t="shared" ref="L80:L95" si="28">IF(A80="","",YEAR(B80))</f>
        <v>2025</v>
      </c>
      <c r="M80" s="19">
        <f t="shared" ref="M80:M95" si="29">IF(L80="","",DATE(L80,1,1))</f>
        <v>45658</v>
      </c>
      <c r="N80" s="19">
        <f t="shared" ref="N80:N95" si="30">IF(L80="","",DATE(L80,12,31))</f>
        <v>46022</v>
      </c>
      <c r="O80" s="20">
        <f t="shared" ref="O80:O95" si="31">IF(N80="","",_xlfn.DAYS(N80,M80)+1)</f>
        <v>365</v>
      </c>
      <c r="P80" s="20">
        <f t="shared" ref="P80:P95" si="32">IF(N80="","",360)</f>
        <v>360</v>
      </c>
      <c r="Q80" s="20">
        <f t="shared" ref="Q80:Q95" si="33">IF(N80="","",365)</f>
        <v>365</v>
      </c>
      <c r="S80" s="56">
        <f t="shared" ref="S80:S95" si="34">IF(K80="","",K80/P80)</f>
        <v>0.5</v>
      </c>
      <c r="T80" s="56">
        <f t="shared" ref="T80:T95" si="35">IF(J80="","",J80/P80)</f>
        <v>0.50555555555555554</v>
      </c>
      <c r="U80" s="56">
        <f t="shared" ref="U80:U95" si="36">IF(J80="","",J80/O80)</f>
        <v>0.49863013698630138</v>
      </c>
      <c r="V80" s="56">
        <f t="shared" ref="V80:V95" si="37">IF(J80="","",J80/Q80)</f>
        <v>0.49863013698630138</v>
      </c>
      <c r="W80" s="57">
        <f t="shared" ref="W80:W95" si="38">IF($B$39=1,U80,IF($B$39=2,T80,IF($B$39=3,V80,IF($B$39=4,S80,""))))</f>
        <v>0.5</v>
      </c>
      <c r="X80" s="57" t="str">
        <f t="shared" ref="X80:X95" si="39">IF(W80="","",IF(W80=D80,"OK","Atenção"))</f>
        <v>OK</v>
      </c>
      <c r="Z80" s="329" t="s">
        <v>17</v>
      </c>
      <c r="AA80" s="329">
        <v>2</v>
      </c>
      <c r="AB80" s="329"/>
    </row>
    <row r="81" spans="1:28" x14ac:dyDescent="0.2">
      <c r="A81" s="50">
        <f t="shared" si="23"/>
        <v>2</v>
      </c>
      <c r="B81" s="53">
        <f t="shared" si="22"/>
        <v>45946</v>
      </c>
      <c r="C81" s="53">
        <f t="shared" ref="C81:C95" si="40">IF(A81="","",IF($F$76="Data Juro",B81,IF(WEEKDAY(EDATE($C$79,6*$A81))=1, EDATE($C$79,6*$A81)+1,IF(WEEKDAY(EDATE($C$79,6*$A81))=7,EDATE($C$79,6*$A81)+2,EDATE($C$79,6*$A81)))))</f>
        <v>45946</v>
      </c>
      <c r="D81" s="54">
        <f t="shared" ref="D81:D95" si="41">IF(A81="","",(VLOOKUP(A81,$A$80:$W$95,23,FALSE)))</f>
        <v>0.5</v>
      </c>
      <c r="E81" s="22">
        <f t="shared" si="24"/>
        <v>62.5</v>
      </c>
      <c r="F81" s="22">
        <f t="shared" si="25"/>
        <v>-17.5</v>
      </c>
      <c r="G81" s="22">
        <f t="shared" ref="G81:G95" si="42">IF(E81="","",-ROUND(IF(E81*$K$14&lt;$K$15,$K$15,E81*$K$14),2))</f>
        <v>-5</v>
      </c>
      <c r="H81" s="22">
        <f t="shared" ref="H81:H95" si="43">IF(E81="","",ROUND(G81*$K$13,2))</f>
        <v>-1.1499999999999999</v>
      </c>
      <c r="J81" s="55">
        <f t="shared" si="26"/>
        <v>183</v>
      </c>
      <c r="K81" s="55">
        <f t="shared" si="27"/>
        <v>180</v>
      </c>
      <c r="L81" s="18">
        <f t="shared" si="28"/>
        <v>2025</v>
      </c>
      <c r="M81" s="19">
        <f t="shared" si="29"/>
        <v>45658</v>
      </c>
      <c r="N81" s="19">
        <f t="shared" si="30"/>
        <v>46022</v>
      </c>
      <c r="O81" s="20">
        <f t="shared" si="31"/>
        <v>365</v>
      </c>
      <c r="P81" s="20">
        <f t="shared" si="32"/>
        <v>360</v>
      </c>
      <c r="Q81" s="20">
        <f t="shared" si="33"/>
        <v>365</v>
      </c>
      <c r="S81" s="56">
        <f t="shared" si="34"/>
        <v>0.5</v>
      </c>
      <c r="T81" s="56">
        <f t="shared" si="35"/>
        <v>0.5083333333333333</v>
      </c>
      <c r="U81" s="56">
        <f t="shared" si="36"/>
        <v>0.50136986301369868</v>
      </c>
      <c r="V81" s="56">
        <f t="shared" si="37"/>
        <v>0.50136986301369868</v>
      </c>
      <c r="W81" s="57">
        <f t="shared" si="38"/>
        <v>0.5</v>
      </c>
      <c r="X81" s="57" t="str">
        <f t="shared" si="39"/>
        <v>OK</v>
      </c>
      <c r="Z81" s="329" t="s">
        <v>19</v>
      </c>
      <c r="AA81" s="329">
        <v>3</v>
      </c>
      <c r="AB81" s="329"/>
    </row>
    <row r="82" spans="1:28" x14ac:dyDescent="0.2">
      <c r="A82" s="50">
        <f t="shared" si="23"/>
        <v>3</v>
      </c>
      <c r="B82" s="53">
        <f t="shared" si="22"/>
        <v>46128</v>
      </c>
      <c r="C82" s="53">
        <f t="shared" si="40"/>
        <v>46128</v>
      </c>
      <c r="D82" s="54">
        <f t="shared" si="41"/>
        <v>0.5</v>
      </c>
      <c r="E82" s="22">
        <f t="shared" si="24"/>
        <v>62.5</v>
      </c>
      <c r="F82" s="22">
        <f t="shared" si="25"/>
        <v>-17.5</v>
      </c>
      <c r="G82" s="22">
        <f t="shared" si="42"/>
        <v>-5</v>
      </c>
      <c r="H82" s="22">
        <f t="shared" si="43"/>
        <v>-1.1499999999999999</v>
      </c>
      <c r="J82" s="55">
        <f t="shared" si="26"/>
        <v>182</v>
      </c>
      <c r="K82" s="55">
        <f t="shared" si="27"/>
        <v>180</v>
      </c>
      <c r="L82" s="18">
        <f t="shared" si="28"/>
        <v>2026</v>
      </c>
      <c r="M82" s="19">
        <f t="shared" si="29"/>
        <v>46023</v>
      </c>
      <c r="N82" s="19">
        <f t="shared" si="30"/>
        <v>46387</v>
      </c>
      <c r="O82" s="20">
        <f t="shared" si="31"/>
        <v>365</v>
      </c>
      <c r="P82" s="20">
        <f t="shared" si="32"/>
        <v>360</v>
      </c>
      <c r="Q82" s="20">
        <f t="shared" si="33"/>
        <v>365</v>
      </c>
      <c r="S82" s="56">
        <f t="shared" si="34"/>
        <v>0.5</v>
      </c>
      <c r="T82" s="56">
        <f t="shared" si="35"/>
        <v>0.50555555555555554</v>
      </c>
      <c r="U82" s="56">
        <f t="shared" si="36"/>
        <v>0.49863013698630138</v>
      </c>
      <c r="V82" s="56">
        <f t="shared" si="37"/>
        <v>0.49863013698630138</v>
      </c>
      <c r="W82" s="57">
        <f t="shared" si="38"/>
        <v>0.5</v>
      </c>
      <c r="X82" s="57" t="str">
        <f t="shared" si="39"/>
        <v>OK</v>
      </c>
      <c r="Z82" s="329" t="s">
        <v>16</v>
      </c>
      <c r="AA82" s="329">
        <v>4</v>
      </c>
      <c r="AB82" s="329">
        <f>30/360</f>
        <v>8.3333333333333329E-2</v>
      </c>
    </row>
    <row r="83" spans="1:28" x14ac:dyDescent="0.2">
      <c r="A83" s="50">
        <f t="shared" si="23"/>
        <v>4</v>
      </c>
      <c r="B83" s="53">
        <f t="shared" si="22"/>
        <v>46311</v>
      </c>
      <c r="C83" s="53">
        <f t="shared" si="40"/>
        <v>46311</v>
      </c>
      <c r="D83" s="54">
        <f t="shared" si="41"/>
        <v>0.5</v>
      </c>
      <c r="E83" s="22">
        <f t="shared" si="24"/>
        <v>62.5</v>
      </c>
      <c r="F83" s="22">
        <f t="shared" si="25"/>
        <v>-17.5</v>
      </c>
      <c r="G83" s="22">
        <f t="shared" si="42"/>
        <v>-5</v>
      </c>
      <c r="H83" s="22">
        <f t="shared" si="43"/>
        <v>-1.1499999999999999</v>
      </c>
      <c r="J83" s="55">
        <f t="shared" si="26"/>
        <v>183</v>
      </c>
      <c r="K83" s="55">
        <f t="shared" si="27"/>
        <v>180</v>
      </c>
      <c r="L83" s="18">
        <f t="shared" si="28"/>
        <v>2026</v>
      </c>
      <c r="M83" s="19">
        <f t="shared" si="29"/>
        <v>46023</v>
      </c>
      <c r="N83" s="19">
        <f t="shared" si="30"/>
        <v>46387</v>
      </c>
      <c r="O83" s="20">
        <f t="shared" si="31"/>
        <v>365</v>
      </c>
      <c r="P83" s="20">
        <f t="shared" si="32"/>
        <v>360</v>
      </c>
      <c r="Q83" s="20">
        <f t="shared" si="33"/>
        <v>365</v>
      </c>
      <c r="S83" s="56">
        <f t="shared" si="34"/>
        <v>0.5</v>
      </c>
      <c r="T83" s="56">
        <f t="shared" si="35"/>
        <v>0.5083333333333333</v>
      </c>
      <c r="U83" s="56">
        <f t="shared" si="36"/>
        <v>0.50136986301369868</v>
      </c>
      <c r="V83" s="56">
        <f t="shared" si="37"/>
        <v>0.50136986301369868</v>
      </c>
      <c r="W83" s="57">
        <f t="shared" si="38"/>
        <v>0.5</v>
      </c>
      <c r="X83" s="57" t="str">
        <f t="shared" si="39"/>
        <v>OK</v>
      </c>
    </row>
    <row r="84" spans="1:28" x14ac:dyDescent="0.2">
      <c r="A84" s="50">
        <f t="shared" si="23"/>
        <v>5</v>
      </c>
      <c r="B84" s="53">
        <f t="shared" si="22"/>
        <v>46493</v>
      </c>
      <c r="C84" s="53">
        <f t="shared" si="40"/>
        <v>46493</v>
      </c>
      <c r="D84" s="54">
        <f t="shared" si="41"/>
        <v>0.5</v>
      </c>
      <c r="E84" s="22">
        <f t="shared" si="24"/>
        <v>62.5</v>
      </c>
      <c r="F84" s="22">
        <f t="shared" si="25"/>
        <v>-17.5</v>
      </c>
      <c r="G84" s="22">
        <f t="shared" si="42"/>
        <v>-5</v>
      </c>
      <c r="H84" s="22">
        <f t="shared" si="43"/>
        <v>-1.1499999999999999</v>
      </c>
      <c r="J84" s="55">
        <f t="shared" si="26"/>
        <v>182</v>
      </c>
      <c r="K84" s="55">
        <f t="shared" si="27"/>
        <v>180</v>
      </c>
      <c r="L84" s="18">
        <f t="shared" si="28"/>
        <v>2027</v>
      </c>
      <c r="M84" s="19">
        <f t="shared" si="29"/>
        <v>46388</v>
      </c>
      <c r="N84" s="19">
        <f t="shared" si="30"/>
        <v>46752</v>
      </c>
      <c r="O84" s="20">
        <f t="shared" si="31"/>
        <v>365</v>
      </c>
      <c r="P84" s="20">
        <f t="shared" si="32"/>
        <v>360</v>
      </c>
      <c r="Q84" s="20">
        <f t="shared" si="33"/>
        <v>365</v>
      </c>
      <c r="S84" s="56">
        <f t="shared" si="34"/>
        <v>0.5</v>
      </c>
      <c r="T84" s="56">
        <f t="shared" si="35"/>
        <v>0.50555555555555554</v>
      </c>
      <c r="U84" s="56">
        <f t="shared" si="36"/>
        <v>0.49863013698630138</v>
      </c>
      <c r="V84" s="56">
        <f t="shared" si="37"/>
        <v>0.49863013698630138</v>
      </c>
      <c r="W84" s="57">
        <f t="shared" si="38"/>
        <v>0.5</v>
      </c>
      <c r="X84" s="57" t="str">
        <f t="shared" si="39"/>
        <v>OK</v>
      </c>
    </row>
    <row r="85" spans="1:28" x14ac:dyDescent="0.2">
      <c r="A85" s="50">
        <f t="shared" si="23"/>
        <v>6</v>
      </c>
      <c r="B85" s="53">
        <f t="shared" si="22"/>
        <v>46676</v>
      </c>
      <c r="C85" s="53">
        <f t="shared" si="40"/>
        <v>46676</v>
      </c>
      <c r="D85" s="54">
        <f t="shared" si="41"/>
        <v>0.5</v>
      </c>
      <c r="E85" s="22">
        <f t="shared" si="24"/>
        <v>62.5</v>
      </c>
      <c r="F85" s="22">
        <f t="shared" si="25"/>
        <v>-17.5</v>
      </c>
      <c r="G85" s="22">
        <f t="shared" si="42"/>
        <v>-5</v>
      </c>
      <c r="H85" s="22">
        <f t="shared" si="43"/>
        <v>-1.1499999999999999</v>
      </c>
      <c r="J85" s="55">
        <f t="shared" si="26"/>
        <v>183</v>
      </c>
      <c r="K85" s="55">
        <f t="shared" si="27"/>
        <v>180</v>
      </c>
      <c r="L85" s="18">
        <f t="shared" si="28"/>
        <v>2027</v>
      </c>
      <c r="M85" s="19">
        <f t="shared" si="29"/>
        <v>46388</v>
      </c>
      <c r="N85" s="19">
        <f t="shared" si="30"/>
        <v>46752</v>
      </c>
      <c r="O85" s="20">
        <f t="shared" si="31"/>
        <v>365</v>
      </c>
      <c r="P85" s="20">
        <f t="shared" si="32"/>
        <v>360</v>
      </c>
      <c r="Q85" s="20">
        <f t="shared" si="33"/>
        <v>365</v>
      </c>
      <c r="S85" s="56">
        <f t="shared" si="34"/>
        <v>0.5</v>
      </c>
      <c r="T85" s="56">
        <f t="shared" si="35"/>
        <v>0.5083333333333333</v>
      </c>
      <c r="U85" s="56">
        <f t="shared" si="36"/>
        <v>0.50136986301369868</v>
      </c>
      <c r="V85" s="56">
        <f t="shared" si="37"/>
        <v>0.50136986301369868</v>
      </c>
      <c r="W85" s="57">
        <f t="shared" si="38"/>
        <v>0.5</v>
      </c>
      <c r="X85" s="57" t="str">
        <f t="shared" si="39"/>
        <v>OK</v>
      </c>
    </row>
    <row r="86" spans="1:28" x14ac:dyDescent="0.2">
      <c r="A86" s="50">
        <f t="shared" si="23"/>
        <v>7</v>
      </c>
      <c r="B86" s="53">
        <f t="shared" si="22"/>
        <v>46859</v>
      </c>
      <c r="C86" s="53">
        <f t="shared" si="40"/>
        <v>46859</v>
      </c>
      <c r="D86" s="54">
        <f t="shared" si="41"/>
        <v>0.5</v>
      </c>
      <c r="E86" s="22">
        <f t="shared" si="24"/>
        <v>62.5</v>
      </c>
      <c r="F86" s="22">
        <f t="shared" si="25"/>
        <v>-17.5</v>
      </c>
      <c r="G86" s="22">
        <f t="shared" si="42"/>
        <v>-5</v>
      </c>
      <c r="H86" s="22">
        <f t="shared" si="43"/>
        <v>-1.1499999999999999</v>
      </c>
      <c r="J86" s="55">
        <f t="shared" si="26"/>
        <v>183</v>
      </c>
      <c r="K86" s="55">
        <f t="shared" si="27"/>
        <v>180</v>
      </c>
      <c r="L86" s="18">
        <f t="shared" si="28"/>
        <v>2028</v>
      </c>
      <c r="M86" s="19">
        <f t="shared" si="29"/>
        <v>46753</v>
      </c>
      <c r="N86" s="19">
        <f t="shared" si="30"/>
        <v>47118</v>
      </c>
      <c r="O86" s="20">
        <f t="shared" si="31"/>
        <v>366</v>
      </c>
      <c r="P86" s="20">
        <f t="shared" si="32"/>
        <v>360</v>
      </c>
      <c r="Q86" s="20">
        <f t="shared" si="33"/>
        <v>365</v>
      </c>
      <c r="S86" s="56">
        <f t="shared" si="34"/>
        <v>0.5</v>
      </c>
      <c r="T86" s="56">
        <f t="shared" si="35"/>
        <v>0.5083333333333333</v>
      </c>
      <c r="U86" s="56">
        <f t="shared" si="36"/>
        <v>0.5</v>
      </c>
      <c r="V86" s="56">
        <f t="shared" si="37"/>
        <v>0.50136986301369868</v>
      </c>
      <c r="W86" s="57">
        <f t="shared" si="38"/>
        <v>0.5</v>
      </c>
      <c r="X86" s="57" t="str">
        <f t="shared" si="39"/>
        <v>OK</v>
      </c>
    </row>
    <row r="87" spans="1:28" x14ac:dyDescent="0.2">
      <c r="A87" s="50">
        <f t="shared" si="23"/>
        <v>8</v>
      </c>
      <c r="B87" s="53">
        <f t="shared" si="22"/>
        <v>47042</v>
      </c>
      <c r="C87" s="53">
        <f t="shared" si="40"/>
        <v>47042</v>
      </c>
      <c r="D87" s="54">
        <f t="shared" si="41"/>
        <v>0.5</v>
      </c>
      <c r="E87" s="22">
        <f t="shared" si="24"/>
        <v>62.5</v>
      </c>
      <c r="F87" s="22">
        <f t="shared" si="25"/>
        <v>-17.5</v>
      </c>
      <c r="G87" s="22">
        <f t="shared" si="42"/>
        <v>-5</v>
      </c>
      <c r="H87" s="22">
        <f t="shared" si="43"/>
        <v>-1.1499999999999999</v>
      </c>
      <c r="J87" s="55">
        <f t="shared" si="26"/>
        <v>183</v>
      </c>
      <c r="K87" s="55">
        <f t="shared" si="27"/>
        <v>180</v>
      </c>
      <c r="L87" s="18">
        <f t="shared" si="28"/>
        <v>2028</v>
      </c>
      <c r="M87" s="19">
        <f t="shared" si="29"/>
        <v>46753</v>
      </c>
      <c r="N87" s="19">
        <f t="shared" si="30"/>
        <v>47118</v>
      </c>
      <c r="O87" s="20">
        <f t="shared" si="31"/>
        <v>366</v>
      </c>
      <c r="P87" s="20">
        <f t="shared" si="32"/>
        <v>360</v>
      </c>
      <c r="Q87" s="20">
        <f t="shared" si="33"/>
        <v>365</v>
      </c>
      <c r="S87" s="56">
        <f t="shared" si="34"/>
        <v>0.5</v>
      </c>
      <c r="T87" s="56">
        <f t="shared" si="35"/>
        <v>0.5083333333333333</v>
      </c>
      <c r="U87" s="56">
        <f t="shared" si="36"/>
        <v>0.5</v>
      </c>
      <c r="V87" s="56">
        <f t="shared" si="37"/>
        <v>0.50136986301369868</v>
      </c>
      <c r="W87" s="57">
        <f t="shared" si="38"/>
        <v>0.5</v>
      </c>
      <c r="X87" s="57" t="str">
        <f t="shared" si="39"/>
        <v>OK</v>
      </c>
    </row>
    <row r="88" spans="1:28" x14ac:dyDescent="0.2">
      <c r="A88" s="50">
        <f t="shared" si="23"/>
        <v>9</v>
      </c>
      <c r="B88" s="53">
        <f t="shared" si="22"/>
        <v>47224</v>
      </c>
      <c r="C88" s="53">
        <f t="shared" si="40"/>
        <v>47224</v>
      </c>
      <c r="D88" s="54">
        <f t="shared" si="41"/>
        <v>0.5</v>
      </c>
      <c r="E88" s="22">
        <f t="shared" si="24"/>
        <v>62.5</v>
      </c>
      <c r="F88" s="22">
        <f t="shared" si="25"/>
        <v>-17.5</v>
      </c>
      <c r="G88" s="22">
        <f t="shared" si="42"/>
        <v>-5</v>
      </c>
      <c r="H88" s="22">
        <f t="shared" si="43"/>
        <v>-1.1499999999999999</v>
      </c>
      <c r="J88" s="55">
        <f t="shared" si="26"/>
        <v>182</v>
      </c>
      <c r="K88" s="55">
        <f t="shared" si="27"/>
        <v>180</v>
      </c>
      <c r="L88" s="18">
        <f t="shared" si="28"/>
        <v>2029</v>
      </c>
      <c r="M88" s="19">
        <f t="shared" si="29"/>
        <v>47119</v>
      </c>
      <c r="N88" s="19">
        <f t="shared" si="30"/>
        <v>47483</v>
      </c>
      <c r="O88" s="20">
        <f t="shared" si="31"/>
        <v>365</v>
      </c>
      <c r="P88" s="20">
        <f t="shared" si="32"/>
        <v>360</v>
      </c>
      <c r="Q88" s="20">
        <f t="shared" si="33"/>
        <v>365</v>
      </c>
      <c r="S88" s="56">
        <f t="shared" si="34"/>
        <v>0.5</v>
      </c>
      <c r="T88" s="56">
        <f t="shared" si="35"/>
        <v>0.50555555555555554</v>
      </c>
      <c r="U88" s="56">
        <f t="shared" si="36"/>
        <v>0.49863013698630138</v>
      </c>
      <c r="V88" s="56">
        <f t="shared" si="37"/>
        <v>0.49863013698630138</v>
      </c>
      <c r="W88" s="57">
        <f t="shared" si="38"/>
        <v>0.5</v>
      </c>
      <c r="X88" s="57" t="str">
        <f t="shared" si="39"/>
        <v>OK</v>
      </c>
    </row>
    <row r="89" spans="1:28" x14ac:dyDescent="0.2">
      <c r="A89" s="50">
        <f t="shared" si="23"/>
        <v>10</v>
      </c>
      <c r="B89" s="53">
        <f t="shared" si="22"/>
        <v>47407</v>
      </c>
      <c r="C89" s="53">
        <f t="shared" si="40"/>
        <v>47407</v>
      </c>
      <c r="D89" s="54">
        <f t="shared" si="41"/>
        <v>0.5</v>
      </c>
      <c r="E89" s="22">
        <f t="shared" si="24"/>
        <v>62.5</v>
      </c>
      <c r="F89" s="22">
        <f t="shared" si="25"/>
        <v>-17.5</v>
      </c>
      <c r="G89" s="22">
        <f t="shared" si="42"/>
        <v>-5</v>
      </c>
      <c r="H89" s="22">
        <f t="shared" si="43"/>
        <v>-1.1499999999999999</v>
      </c>
      <c r="J89" s="55">
        <f t="shared" si="26"/>
        <v>183</v>
      </c>
      <c r="K89" s="55">
        <f t="shared" si="27"/>
        <v>180</v>
      </c>
      <c r="L89" s="18">
        <f t="shared" si="28"/>
        <v>2029</v>
      </c>
      <c r="M89" s="19">
        <f t="shared" si="29"/>
        <v>47119</v>
      </c>
      <c r="N89" s="19">
        <f t="shared" si="30"/>
        <v>47483</v>
      </c>
      <c r="O89" s="20">
        <f t="shared" si="31"/>
        <v>365</v>
      </c>
      <c r="P89" s="20">
        <f t="shared" si="32"/>
        <v>360</v>
      </c>
      <c r="Q89" s="20">
        <f t="shared" si="33"/>
        <v>365</v>
      </c>
      <c r="S89" s="56">
        <f t="shared" si="34"/>
        <v>0.5</v>
      </c>
      <c r="T89" s="56">
        <f t="shared" si="35"/>
        <v>0.5083333333333333</v>
      </c>
      <c r="U89" s="56">
        <f t="shared" si="36"/>
        <v>0.50136986301369868</v>
      </c>
      <c r="V89" s="56">
        <f t="shared" si="37"/>
        <v>0.50136986301369868</v>
      </c>
      <c r="W89" s="57">
        <f t="shared" si="38"/>
        <v>0.5</v>
      </c>
      <c r="X89" s="57" t="str">
        <f t="shared" si="39"/>
        <v>OK</v>
      </c>
    </row>
    <row r="90" spans="1:28" x14ac:dyDescent="0.2">
      <c r="A90" s="50" t="str">
        <f t="shared" si="23"/>
        <v/>
      </c>
      <c r="B90" s="53" t="str">
        <f t="shared" si="22"/>
        <v/>
      </c>
      <c r="C90" s="53" t="str">
        <f t="shared" si="40"/>
        <v/>
      </c>
      <c r="D90" s="54" t="str">
        <f t="shared" si="41"/>
        <v/>
      </c>
      <c r="E90" s="22" t="str">
        <f t="shared" si="24"/>
        <v/>
      </c>
      <c r="F90" s="22" t="str">
        <f t="shared" si="25"/>
        <v/>
      </c>
      <c r="G90" s="22" t="str">
        <f t="shared" si="42"/>
        <v/>
      </c>
      <c r="H90" s="22" t="str">
        <f t="shared" si="43"/>
        <v/>
      </c>
      <c r="J90" s="55" t="str">
        <f t="shared" si="26"/>
        <v/>
      </c>
      <c r="K90" s="55" t="str">
        <f t="shared" si="27"/>
        <v/>
      </c>
      <c r="L90" s="18" t="str">
        <f t="shared" si="28"/>
        <v/>
      </c>
      <c r="M90" s="19" t="str">
        <f t="shared" si="29"/>
        <v/>
      </c>
      <c r="N90" s="19" t="str">
        <f t="shared" si="30"/>
        <v/>
      </c>
      <c r="O90" s="20" t="str">
        <f t="shared" si="31"/>
        <v/>
      </c>
      <c r="P90" s="20" t="str">
        <f t="shared" si="32"/>
        <v/>
      </c>
      <c r="Q90" s="20" t="str">
        <f t="shared" si="33"/>
        <v/>
      </c>
      <c r="S90" s="56" t="str">
        <f t="shared" si="34"/>
        <v/>
      </c>
      <c r="T90" s="56" t="str">
        <f t="shared" si="35"/>
        <v/>
      </c>
      <c r="U90" s="56" t="str">
        <f t="shared" si="36"/>
        <v/>
      </c>
      <c r="V90" s="56" t="str">
        <f t="shared" si="37"/>
        <v/>
      </c>
      <c r="W90" s="57" t="str">
        <f t="shared" si="38"/>
        <v/>
      </c>
      <c r="X90" s="57" t="str">
        <f t="shared" si="39"/>
        <v/>
      </c>
    </row>
    <row r="91" spans="1:28" x14ac:dyDescent="0.2">
      <c r="A91" s="50" t="str">
        <f t="shared" si="23"/>
        <v/>
      </c>
      <c r="B91" s="53" t="str">
        <f t="shared" si="22"/>
        <v/>
      </c>
      <c r="C91" s="53" t="str">
        <f t="shared" si="40"/>
        <v/>
      </c>
      <c r="D91" s="54" t="str">
        <f t="shared" si="41"/>
        <v/>
      </c>
      <c r="E91" s="22" t="str">
        <f t="shared" si="24"/>
        <v/>
      </c>
      <c r="F91" s="22" t="str">
        <f t="shared" si="25"/>
        <v/>
      </c>
      <c r="G91" s="22" t="str">
        <f t="shared" si="42"/>
        <v/>
      </c>
      <c r="H91" s="22" t="str">
        <f t="shared" si="43"/>
        <v/>
      </c>
      <c r="J91" s="55" t="str">
        <f t="shared" si="26"/>
        <v/>
      </c>
      <c r="K91" s="55" t="str">
        <f t="shared" si="27"/>
        <v/>
      </c>
      <c r="L91" s="18" t="str">
        <f t="shared" si="28"/>
        <v/>
      </c>
      <c r="M91" s="19" t="str">
        <f t="shared" si="29"/>
        <v/>
      </c>
      <c r="N91" s="19" t="str">
        <f t="shared" si="30"/>
        <v/>
      </c>
      <c r="O91" s="20" t="str">
        <f t="shared" si="31"/>
        <v/>
      </c>
      <c r="P91" s="20" t="str">
        <f t="shared" si="32"/>
        <v/>
      </c>
      <c r="Q91" s="20" t="str">
        <f t="shared" si="33"/>
        <v/>
      </c>
      <c r="S91" s="56" t="str">
        <f t="shared" si="34"/>
        <v/>
      </c>
      <c r="T91" s="56" t="str">
        <f t="shared" si="35"/>
        <v/>
      </c>
      <c r="U91" s="56" t="str">
        <f t="shared" si="36"/>
        <v/>
      </c>
      <c r="V91" s="56" t="str">
        <f t="shared" si="37"/>
        <v/>
      </c>
      <c r="W91" s="57" t="str">
        <f t="shared" si="38"/>
        <v/>
      </c>
      <c r="X91" s="57" t="str">
        <f t="shared" si="39"/>
        <v/>
      </c>
    </row>
    <row r="92" spans="1:28" x14ac:dyDescent="0.2">
      <c r="A92" s="50" t="str">
        <f t="shared" si="23"/>
        <v/>
      </c>
      <c r="B92" s="53" t="str">
        <f t="shared" si="22"/>
        <v/>
      </c>
      <c r="C92" s="53" t="str">
        <f t="shared" si="40"/>
        <v/>
      </c>
      <c r="D92" s="54" t="str">
        <f t="shared" si="41"/>
        <v/>
      </c>
      <c r="E92" s="22" t="str">
        <f t="shared" si="24"/>
        <v/>
      </c>
      <c r="F92" s="22" t="str">
        <f t="shared" si="25"/>
        <v/>
      </c>
      <c r="G92" s="22" t="str">
        <f t="shared" si="42"/>
        <v/>
      </c>
      <c r="H92" s="22" t="str">
        <f t="shared" si="43"/>
        <v/>
      </c>
      <c r="J92" s="55" t="str">
        <f t="shared" si="26"/>
        <v/>
      </c>
      <c r="K92" s="55" t="str">
        <f t="shared" si="27"/>
        <v/>
      </c>
      <c r="L92" s="18" t="str">
        <f t="shared" si="28"/>
        <v/>
      </c>
      <c r="M92" s="19" t="str">
        <f t="shared" si="29"/>
        <v/>
      </c>
      <c r="N92" s="19" t="str">
        <f t="shared" si="30"/>
        <v/>
      </c>
      <c r="O92" s="20" t="str">
        <f t="shared" si="31"/>
        <v/>
      </c>
      <c r="P92" s="20" t="str">
        <f t="shared" si="32"/>
        <v/>
      </c>
      <c r="Q92" s="20" t="str">
        <f t="shared" si="33"/>
        <v/>
      </c>
      <c r="S92" s="56" t="str">
        <f t="shared" si="34"/>
        <v/>
      </c>
      <c r="T92" s="56" t="str">
        <f t="shared" si="35"/>
        <v/>
      </c>
      <c r="U92" s="56" t="str">
        <f t="shared" si="36"/>
        <v/>
      </c>
      <c r="V92" s="56" t="str">
        <f t="shared" si="37"/>
        <v/>
      </c>
      <c r="W92" s="57" t="str">
        <f t="shared" si="38"/>
        <v/>
      </c>
      <c r="X92" s="57" t="str">
        <f t="shared" si="39"/>
        <v/>
      </c>
    </row>
    <row r="93" spans="1:28" x14ac:dyDescent="0.2">
      <c r="A93" s="50" t="str">
        <f t="shared" si="23"/>
        <v/>
      </c>
      <c r="B93" s="53" t="str">
        <f t="shared" si="22"/>
        <v/>
      </c>
      <c r="C93" s="53" t="str">
        <f t="shared" si="40"/>
        <v/>
      </c>
      <c r="D93" s="54" t="str">
        <f t="shared" si="41"/>
        <v/>
      </c>
      <c r="E93" s="22" t="str">
        <f t="shared" si="24"/>
        <v/>
      </c>
      <c r="F93" s="22" t="str">
        <f t="shared" si="25"/>
        <v/>
      </c>
      <c r="G93" s="22" t="str">
        <f t="shared" si="42"/>
        <v/>
      </c>
      <c r="H93" s="22" t="str">
        <f t="shared" si="43"/>
        <v/>
      </c>
      <c r="J93" s="55" t="str">
        <f t="shared" si="26"/>
        <v/>
      </c>
      <c r="K93" s="55" t="str">
        <f t="shared" si="27"/>
        <v/>
      </c>
      <c r="L93" s="18" t="str">
        <f t="shared" si="28"/>
        <v/>
      </c>
      <c r="M93" s="19" t="str">
        <f t="shared" si="29"/>
        <v/>
      </c>
      <c r="N93" s="19" t="str">
        <f t="shared" si="30"/>
        <v/>
      </c>
      <c r="O93" s="20" t="str">
        <f t="shared" si="31"/>
        <v/>
      </c>
      <c r="P93" s="20" t="str">
        <f t="shared" si="32"/>
        <v/>
      </c>
      <c r="Q93" s="20" t="str">
        <f t="shared" si="33"/>
        <v/>
      </c>
      <c r="S93" s="56" t="str">
        <f t="shared" si="34"/>
        <v/>
      </c>
      <c r="T93" s="56" t="str">
        <f t="shared" si="35"/>
        <v/>
      </c>
      <c r="U93" s="56" t="str">
        <f t="shared" si="36"/>
        <v/>
      </c>
      <c r="V93" s="56" t="str">
        <f t="shared" si="37"/>
        <v/>
      </c>
      <c r="W93" s="57" t="str">
        <f t="shared" si="38"/>
        <v/>
      </c>
      <c r="X93" s="57" t="str">
        <f t="shared" si="39"/>
        <v/>
      </c>
    </row>
    <row r="94" spans="1:28" x14ac:dyDescent="0.2">
      <c r="A94" s="50" t="str">
        <f t="shared" si="23"/>
        <v/>
      </c>
      <c r="B94" s="53" t="str">
        <f t="shared" si="22"/>
        <v/>
      </c>
      <c r="C94" s="53" t="str">
        <f t="shared" si="40"/>
        <v/>
      </c>
      <c r="D94" s="54" t="str">
        <f t="shared" si="41"/>
        <v/>
      </c>
      <c r="E94" s="22" t="str">
        <f t="shared" si="24"/>
        <v/>
      </c>
      <c r="F94" s="22" t="str">
        <f t="shared" si="25"/>
        <v/>
      </c>
      <c r="G94" s="22" t="str">
        <f t="shared" si="42"/>
        <v/>
      </c>
      <c r="H94" s="22" t="str">
        <f t="shared" si="43"/>
        <v/>
      </c>
      <c r="J94" s="55" t="str">
        <f t="shared" si="26"/>
        <v/>
      </c>
      <c r="K94" s="55" t="str">
        <f t="shared" si="27"/>
        <v/>
      </c>
      <c r="L94" s="18" t="str">
        <f t="shared" si="28"/>
        <v/>
      </c>
      <c r="M94" s="19" t="str">
        <f t="shared" si="29"/>
        <v/>
      </c>
      <c r="N94" s="19" t="str">
        <f t="shared" si="30"/>
        <v/>
      </c>
      <c r="O94" s="20" t="str">
        <f t="shared" si="31"/>
        <v/>
      </c>
      <c r="P94" s="20" t="str">
        <f t="shared" si="32"/>
        <v/>
      </c>
      <c r="Q94" s="20" t="str">
        <f t="shared" si="33"/>
        <v/>
      </c>
      <c r="S94" s="56" t="str">
        <f t="shared" si="34"/>
        <v/>
      </c>
      <c r="T94" s="56" t="str">
        <f t="shared" si="35"/>
        <v/>
      </c>
      <c r="U94" s="56" t="str">
        <f t="shared" si="36"/>
        <v/>
      </c>
      <c r="V94" s="56" t="str">
        <f t="shared" si="37"/>
        <v/>
      </c>
      <c r="W94" s="57" t="str">
        <f t="shared" si="38"/>
        <v/>
      </c>
      <c r="X94" s="57" t="str">
        <f t="shared" si="39"/>
        <v/>
      </c>
    </row>
    <row r="95" spans="1:28" x14ac:dyDescent="0.2">
      <c r="A95" s="50" t="str">
        <f t="shared" si="23"/>
        <v/>
      </c>
      <c r="B95" s="53" t="str">
        <f t="shared" si="22"/>
        <v/>
      </c>
      <c r="C95" s="53" t="str">
        <f t="shared" si="40"/>
        <v/>
      </c>
      <c r="D95" s="54" t="str">
        <f t="shared" si="41"/>
        <v/>
      </c>
      <c r="E95" s="22" t="str">
        <f t="shared" si="24"/>
        <v/>
      </c>
      <c r="F95" s="22" t="str">
        <f t="shared" si="25"/>
        <v/>
      </c>
      <c r="G95" s="22" t="str">
        <f t="shared" si="42"/>
        <v/>
      </c>
      <c r="H95" s="22" t="str">
        <f t="shared" si="43"/>
        <v/>
      </c>
      <c r="J95" s="55" t="str">
        <f t="shared" si="26"/>
        <v/>
      </c>
      <c r="K95" s="55" t="str">
        <f t="shared" si="27"/>
        <v/>
      </c>
      <c r="L95" s="18" t="str">
        <f t="shared" si="28"/>
        <v/>
      </c>
      <c r="M95" s="19" t="str">
        <f t="shared" si="29"/>
        <v/>
      </c>
      <c r="N95" s="19" t="str">
        <f t="shared" si="30"/>
        <v/>
      </c>
      <c r="O95" s="20" t="str">
        <f t="shared" si="31"/>
        <v/>
      </c>
      <c r="P95" s="20" t="str">
        <f t="shared" si="32"/>
        <v/>
      </c>
      <c r="Q95" s="20" t="str">
        <f t="shared" si="33"/>
        <v/>
      </c>
      <c r="S95" s="56" t="str">
        <f t="shared" si="34"/>
        <v/>
      </c>
      <c r="T95" s="56" t="str">
        <f t="shared" si="35"/>
        <v/>
      </c>
      <c r="U95" s="56" t="str">
        <f t="shared" si="36"/>
        <v/>
      </c>
      <c r="V95" s="56" t="str">
        <f t="shared" si="37"/>
        <v/>
      </c>
      <c r="W95" s="57" t="str">
        <f t="shared" si="38"/>
        <v/>
      </c>
      <c r="X95" s="57" t="str">
        <f t="shared" si="39"/>
        <v/>
      </c>
    </row>
    <row r="96" spans="1:28" ht="14.25" x14ac:dyDescent="0.2">
      <c r="A96" s="81" t="s">
        <v>60</v>
      </c>
      <c r="B96" s="82"/>
      <c r="C96" s="82"/>
      <c r="D96" s="82"/>
      <c r="E96" s="83">
        <f>SUM(E80:E95)</f>
        <v>625</v>
      </c>
      <c r="F96" s="83">
        <f>SUM(F80:F95)</f>
        <v>-175</v>
      </c>
      <c r="G96" s="83">
        <f>SUM(G80:G95)</f>
        <v>-50</v>
      </c>
      <c r="H96" s="83">
        <f>SUM(H80:H95)</f>
        <v>-11.500000000000002</v>
      </c>
    </row>
    <row r="100" spans="1:5" ht="19.5" x14ac:dyDescent="0.25">
      <c r="A100" s="492" t="s">
        <v>73</v>
      </c>
      <c r="B100" s="493"/>
      <c r="C100" s="493"/>
      <c r="D100" s="494"/>
    </row>
    <row r="101" spans="1:5" x14ac:dyDescent="0.2">
      <c r="A101" s="27" t="s">
        <v>32</v>
      </c>
      <c r="B101" s="27" t="s">
        <v>33</v>
      </c>
      <c r="C101" s="27" t="s">
        <v>34</v>
      </c>
      <c r="D101" s="27" t="s">
        <v>35</v>
      </c>
    </row>
    <row r="102" spans="1:5" x14ac:dyDescent="0.2">
      <c r="A102" s="27">
        <v>1</v>
      </c>
      <c r="B102" s="27">
        <v>4</v>
      </c>
      <c r="C102" s="27">
        <v>1</v>
      </c>
      <c r="D102" s="27">
        <v>3</v>
      </c>
    </row>
    <row r="103" spans="1:5" x14ac:dyDescent="0.2">
      <c r="A103" s="27">
        <v>2</v>
      </c>
      <c r="B103" s="27">
        <v>4</v>
      </c>
      <c r="C103" s="27">
        <v>1</v>
      </c>
      <c r="D103" s="27">
        <v>3</v>
      </c>
    </row>
    <row r="104" spans="1:5" x14ac:dyDescent="0.2">
      <c r="A104" s="27">
        <v>3</v>
      </c>
      <c r="B104" s="27">
        <v>4</v>
      </c>
      <c r="C104" s="27">
        <v>1</v>
      </c>
      <c r="D104" s="27">
        <v>3</v>
      </c>
    </row>
    <row r="105" spans="1:5" x14ac:dyDescent="0.2">
      <c r="A105" s="27">
        <v>4</v>
      </c>
      <c r="B105" s="27">
        <v>7</v>
      </c>
      <c r="C105" s="27">
        <v>3</v>
      </c>
      <c r="D105" s="27">
        <v>6</v>
      </c>
      <c r="E105" s="8"/>
    </row>
    <row r="106" spans="1:5" x14ac:dyDescent="0.2">
      <c r="A106" s="27">
        <v>5</v>
      </c>
      <c r="B106" s="27">
        <v>7</v>
      </c>
      <c r="C106" s="27">
        <v>3</v>
      </c>
      <c r="D106" s="27">
        <v>6</v>
      </c>
    </row>
    <row r="107" spans="1:5" x14ac:dyDescent="0.2">
      <c r="A107" s="27">
        <v>6</v>
      </c>
      <c r="B107" s="27">
        <v>7</v>
      </c>
      <c r="C107" s="27">
        <v>3</v>
      </c>
      <c r="D107" s="27">
        <v>6</v>
      </c>
    </row>
    <row r="108" spans="1:5" x14ac:dyDescent="0.2">
      <c r="A108" s="27">
        <v>7</v>
      </c>
      <c r="B108" s="27">
        <v>10</v>
      </c>
      <c r="C108" s="27">
        <v>4</v>
      </c>
      <c r="D108" s="27">
        <v>9</v>
      </c>
    </row>
    <row r="109" spans="1:5" x14ac:dyDescent="0.2">
      <c r="A109" s="27">
        <v>8</v>
      </c>
      <c r="B109" s="27">
        <v>10</v>
      </c>
      <c r="C109" s="27">
        <v>4</v>
      </c>
      <c r="D109" s="27">
        <v>9</v>
      </c>
    </row>
    <row r="110" spans="1:5" x14ac:dyDescent="0.2">
      <c r="A110" s="27">
        <v>9</v>
      </c>
      <c r="B110" s="27">
        <v>10</v>
      </c>
      <c r="C110" s="27">
        <v>4</v>
      </c>
      <c r="D110" s="27">
        <v>9</v>
      </c>
    </row>
    <row r="111" spans="1:5" x14ac:dyDescent="0.2">
      <c r="A111" s="27">
        <v>10</v>
      </c>
      <c r="B111" s="27">
        <v>1</v>
      </c>
      <c r="C111" s="27">
        <v>9</v>
      </c>
      <c r="D111" s="27">
        <v>12</v>
      </c>
    </row>
    <row r="112" spans="1:5" x14ac:dyDescent="0.2">
      <c r="A112" s="27">
        <v>11</v>
      </c>
      <c r="B112" s="27">
        <v>1</v>
      </c>
      <c r="C112" s="27">
        <v>9</v>
      </c>
      <c r="D112" s="27">
        <v>12</v>
      </c>
    </row>
    <row r="113" spans="1:7" x14ac:dyDescent="0.2">
      <c r="A113" s="27">
        <v>12</v>
      </c>
      <c r="B113" s="27">
        <v>1</v>
      </c>
      <c r="C113" s="27">
        <v>9</v>
      </c>
      <c r="D113" s="27">
        <v>12</v>
      </c>
    </row>
    <row r="115" spans="1:7" ht="19.5" x14ac:dyDescent="0.25">
      <c r="A115" s="476" t="s">
        <v>72</v>
      </c>
      <c r="B115" s="477"/>
      <c r="C115" s="477"/>
      <c r="D115" s="477"/>
      <c r="E115" s="477"/>
      <c r="F115" s="477"/>
      <c r="G115" s="477"/>
    </row>
    <row r="116" spans="1:7" x14ac:dyDescent="0.2">
      <c r="A116" s="28">
        <f>DAY(B14)</f>
        <v>16</v>
      </c>
      <c r="B116" s="28">
        <f>MONTH(B14)</f>
        <v>10</v>
      </c>
      <c r="C116" s="28">
        <f>YEAR(B14)</f>
        <v>2024</v>
      </c>
      <c r="D116" s="29">
        <f>DATE(C116,B116,A116)</f>
        <v>45581</v>
      </c>
      <c r="E116" s="230" t="s">
        <v>42</v>
      </c>
      <c r="F116" s="230" t="s">
        <v>44</v>
      </c>
      <c r="G116" s="236" t="s">
        <v>324</v>
      </c>
    </row>
    <row r="117" spans="1:7" x14ac:dyDescent="0.2">
      <c r="A117" s="28">
        <f>IF(A116="","",IF((D116+89)&gt;=$B$16,"",1))</f>
        <v>1</v>
      </c>
      <c r="B117" s="28">
        <f>IF(A117="","",VLOOKUP(B116,$A$102:$B$113,2,FALSE))</f>
        <v>1</v>
      </c>
      <c r="C117" s="28">
        <f>IF(A117="","",IF(B117&gt;B116,C116,C116+1))</f>
        <v>2025</v>
      </c>
      <c r="D117" s="30">
        <f t="shared" ref="D117:D126" si="44">IF(A117="","",DATE(C117,B117,A117))</f>
        <v>45658</v>
      </c>
      <c r="E117" s="28">
        <f>IF(D117&lt;=$B$16,IF($B$38=FOLHA!$XFB$2,ROUND(-$K$18,2),0),"")</f>
        <v>-7.5</v>
      </c>
      <c r="F117" s="28">
        <f>IF(E117="","",ROUND((E117*$K$13),2))</f>
        <v>-1.73</v>
      </c>
      <c r="G117" s="237">
        <f>IF(E117=0,"",D117)</f>
        <v>45658</v>
      </c>
    </row>
    <row r="118" spans="1:7" x14ac:dyDescent="0.2">
      <c r="A118" s="28">
        <f>IF(A117="","",IF((D117+89)&gt;=$B$16,"",1))</f>
        <v>1</v>
      </c>
      <c r="B118" s="28">
        <f t="shared" ref="B118:B135" si="45">IF(A118="","",VLOOKUP(B117,$A$102:$B$113,2,FALSE))</f>
        <v>4</v>
      </c>
      <c r="C118" s="28">
        <f t="shared" ref="C118:C130" si="46">IF(A118="","",IF(B118&gt;B117,C117,C117+1))</f>
        <v>2025</v>
      </c>
      <c r="D118" s="30">
        <f t="shared" si="44"/>
        <v>45748</v>
      </c>
      <c r="E118" s="28">
        <f>IF(D118&lt;=$B$16,IF($B$38=FOLHA!$XFB$2,ROUND(-$K$18,2),0),"")</f>
        <v>-7.5</v>
      </c>
      <c r="F118" s="28">
        <f t="shared" ref="F118:F146" si="47">IF(E118="","",ROUND((E118*$K$13),2))</f>
        <v>-1.73</v>
      </c>
      <c r="G118" s="237">
        <f t="shared" ref="G118:G146" si="48">IF(E118=0,"",D118)</f>
        <v>45748</v>
      </c>
    </row>
    <row r="119" spans="1:7" x14ac:dyDescent="0.2">
      <c r="A119" s="28">
        <f t="shared" ref="A119:A137" si="49">IF(A118="","",IF((D118+89)&gt;=$B$16,"",1))</f>
        <v>1</v>
      </c>
      <c r="B119" s="28">
        <f>IF(A119="","",VLOOKUP(B118,$A$102:$B$113,2,FALSE))</f>
        <v>7</v>
      </c>
      <c r="C119" s="28">
        <f t="shared" si="46"/>
        <v>2025</v>
      </c>
      <c r="D119" s="30">
        <f t="shared" si="44"/>
        <v>45839</v>
      </c>
      <c r="E119" s="28">
        <f>IF(D119&lt;=$B$16,IF($B$38=FOLHA!$XFB$2,ROUND(-$K$18,2),0),"")</f>
        <v>-7.5</v>
      </c>
      <c r="F119" s="28">
        <f t="shared" si="47"/>
        <v>-1.73</v>
      </c>
      <c r="G119" s="237">
        <f t="shared" si="48"/>
        <v>45839</v>
      </c>
    </row>
    <row r="120" spans="1:7" x14ac:dyDescent="0.2">
      <c r="A120" s="28">
        <f t="shared" si="49"/>
        <v>1</v>
      </c>
      <c r="B120" s="28">
        <f t="shared" si="45"/>
        <v>10</v>
      </c>
      <c r="C120" s="28">
        <f t="shared" si="46"/>
        <v>2025</v>
      </c>
      <c r="D120" s="30">
        <f t="shared" si="44"/>
        <v>45931</v>
      </c>
      <c r="E120" s="28">
        <f>IF(D120&lt;=$B$16,IF($B$38=FOLHA!$XFB$2,ROUND(-$K$18,2),0),"")</f>
        <v>-7.5</v>
      </c>
      <c r="F120" s="28">
        <f t="shared" si="47"/>
        <v>-1.73</v>
      </c>
      <c r="G120" s="237">
        <f t="shared" si="48"/>
        <v>45931</v>
      </c>
    </row>
    <row r="121" spans="1:7" x14ac:dyDescent="0.2">
      <c r="A121" s="28">
        <f t="shared" si="49"/>
        <v>1</v>
      </c>
      <c r="B121" s="28">
        <f t="shared" si="45"/>
        <v>1</v>
      </c>
      <c r="C121" s="28">
        <f>IF(A121="","",IF(B121&gt;B120,C120,C120+1))</f>
        <v>2026</v>
      </c>
      <c r="D121" s="30">
        <f t="shared" si="44"/>
        <v>46023</v>
      </c>
      <c r="E121" s="28">
        <f>IF(D121&lt;=$B$16,IF($B$38=FOLHA!$XFB$2,ROUND(-$K$18,2),0),"")</f>
        <v>-7.5</v>
      </c>
      <c r="F121" s="28">
        <f t="shared" si="47"/>
        <v>-1.73</v>
      </c>
      <c r="G121" s="237">
        <f t="shared" si="48"/>
        <v>46023</v>
      </c>
    </row>
    <row r="122" spans="1:7" x14ac:dyDescent="0.2">
      <c r="A122" s="28">
        <f t="shared" si="49"/>
        <v>1</v>
      </c>
      <c r="B122" s="28">
        <f t="shared" si="45"/>
        <v>4</v>
      </c>
      <c r="C122" s="28">
        <f t="shared" si="46"/>
        <v>2026</v>
      </c>
      <c r="D122" s="30">
        <f t="shared" si="44"/>
        <v>46113</v>
      </c>
      <c r="E122" s="28">
        <f>IF(D122&lt;=$B$16,IF($B$38=FOLHA!$XFB$2,ROUND(-$K$18,2),0),"")</f>
        <v>-7.5</v>
      </c>
      <c r="F122" s="28">
        <f t="shared" si="47"/>
        <v>-1.73</v>
      </c>
      <c r="G122" s="237">
        <f t="shared" si="48"/>
        <v>46113</v>
      </c>
    </row>
    <row r="123" spans="1:7" x14ac:dyDescent="0.2">
      <c r="A123" s="28">
        <f t="shared" si="49"/>
        <v>1</v>
      </c>
      <c r="B123" s="28">
        <f t="shared" si="45"/>
        <v>7</v>
      </c>
      <c r="C123" s="28">
        <f t="shared" si="46"/>
        <v>2026</v>
      </c>
      <c r="D123" s="30">
        <f t="shared" si="44"/>
        <v>46204</v>
      </c>
      <c r="E123" s="28">
        <f>IF(D123&lt;=$B$16,IF($B$38=FOLHA!$XFB$2,ROUND(-$K$18,2),0),"")</f>
        <v>-7.5</v>
      </c>
      <c r="F123" s="28">
        <f t="shared" si="47"/>
        <v>-1.73</v>
      </c>
      <c r="G123" s="237">
        <f t="shared" si="48"/>
        <v>46204</v>
      </c>
    </row>
    <row r="124" spans="1:7" x14ac:dyDescent="0.2">
      <c r="A124" s="28">
        <f t="shared" si="49"/>
        <v>1</v>
      </c>
      <c r="B124" s="28">
        <f t="shared" si="45"/>
        <v>10</v>
      </c>
      <c r="C124" s="28">
        <f t="shared" si="46"/>
        <v>2026</v>
      </c>
      <c r="D124" s="30">
        <f t="shared" si="44"/>
        <v>46296</v>
      </c>
      <c r="E124" s="28">
        <f>IF(D124&lt;=$B$16,IF($B$38=FOLHA!$XFB$2,ROUND(-$K$18,2),0),"")</f>
        <v>-7.5</v>
      </c>
      <c r="F124" s="28">
        <f t="shared" si="47"/>
        <v>-1.73</v>
      </c>
      <c r="G124" s="237">
        <f t="shared" si="48"/>
        <v>46296</v>
      </c>
    </row>
    <row r="125" spans="1:7" x14ac:dyDescent="0.2">
      <c r="A125" s="28">
        <f t="shared" si="49"/>
        <v>1</v>
      </c>
      <c r="B125" s="28">
        <f t="shared" si="45"/>
        <v>1</v>
      </c>
      <c r="C125" s="28">
        <f t="shared" si="46"/>
        <v>2027</v>
      </c>
      <c r="D125" s="30">
        <f t="shared" si="44"/>
        <v>46388</v>
      </c>
      <c r="E125" s="28">
        <f>IF(D125&lt;=$B$16,IF($B$38=FOLHA!$XFB$2,ROUND(-$K$18,2),0),"")</f>
        <v>-7.5</v>
      </c>
      <c r="F125" s="28">
        <f t="shared" si="47"/>
        <v>-1.73</v>
      </c>
      <c r="G125" s="237">
        <f t="shared" si="48"/>
        <v>46388</v>
      </c>
    </row>
    <row r="126" spans="1:7" x14ac:dyDescent="0.2">
      <c r="A126" s="28">
        <f t="shared" si="49"/>
        <v>1</v>
      </c>
      <c r="B126" s="28">
        <f t="shared" si="45"/>
        <v>4</v>
      </c>
      <c r="C126" s="28">
        <f t="shared" si="46"/>
        <v>2027</v>
      </c>
      <c r="D126" s="30">
        <f t="shared" si="44"/>
        <v>46478</v>
      </c>
      <c r="E126" s="28">
        <f>IF(D126&lt;=$B$16,IF($B$38=FOLHA!$XFB$2,ROUND(-$K$18,2),0),"")</f>
        <v>-7.5</v>
      </c>
      <c r="F126" s="28">
        <f t="shared" si="47"/>
        <v>-1.73</v>
      </c>
      <c r="G126" s="237">
        <f t="shared" si="48"/>
        <v>46478</v>
      </c>
    </row>
    <row r="127" spans="1:7" x14ac:dyDescent="0.2">
      <c r="A127" s="28">
        <f t="shared" si="49"/>
        <v>1</v>
      </c>
      <c r="B127" s="28">
        <f t="shared" si="45"/>
        <v>7</v>
      </c>
      <c r="C127" s="28">
        <f t="shared" si="46"/>
        <v>2027</v>
      </c>
      <c r="D127" s="30">
        <f t="shared" ref="D127:D130" si="50">IF(A127="","",DATE(C127,B127,A127))</f>
        <v>46569</v>
      </c>
      <c r="E127" s="28">
        <f>IF(D127&lt;=$B$16,IF($B$38=FOLHA!$XFB$2,ROUND(-$K$18,2),0),"")</f>
        <v>-7.5</v>
      </c>
      <c r="F127" s="28">
        <f t="shared" si="47"/>
        <v>-1.73</v>
      </c>
      <c r="G127" s="237">
        <f t="shared" si="48"/>
        <v>46569</v>
      </c>
    </row>
    <row r="128" spans="1:7" x14ac:dyDescent="0.2">
      <c r="A128" s="28">
        <f t="shared" si="49"/>
        <v>1</v>
      </c>
      <c r="B128" s="28">
        <f t="shared" si="45"/>
        <v>10</v>
      </c>
      <c r="C128" s="28">
        <f t="shared" si="46"/>
        <v>2027</v>
      </c>
      <c r="D128" s="30">
        <f t="shared" si="50"/>
        <v>46661</v>
      </c>
      <c r="E128" s="28">
        <f>IF(D128&lt;=$B$16,IF($B$38=FOLHA!$XFB$2,ROUND(-$K$18,2),0),"")</f>
        <v>-7.5</v>
      </c>
      <c r="F128" s="28">
        <f t="shared" si="47"/>
        <v>-1.73</v>
      </c>
      <c r="G128" s="237">
        <f t="shared" si="48"/>
        <v>46661</v>
      </c>
    </row>
    <row r="129" spans="1:7" x14ac:dyDescent="0.2">
      <c r="A129" s="28">
        <f t="shared" si="49"/>
        <v>1</v>
      </c>
      <c r="B129" s="28">
        <f t="shared" si="45"/>
        <v>1</v>
      </c>
      <c r="C129" s="28">
        <f t="shared" si="46"/>
        <v>2028</v>
      </c>
      <c r="D129" s="30">
        <f t="shared" si="50"/>
        <v>46753</v>
      </c>
      <c r="E129" s="28">
        <f>IF(D129&lt;=$B$16,IF($B$38=FOLHA!$XFB$2,ROUND(-$K$18,2),0),"")</f>
        <v>-7.5</v>
      </c>
      <c r="F129" s="28">
        <f t="shared" si="47"/>
        <v>-1.73</v>
      </c>
      <c r="G129" s="237">
        <f t="shared" si="48"/>
        <v>46753</v>
      </c>
    </row>
    <row r="130" spans="1:7" x14ac:dyDescent="0.2">
      <c r="A130" s="28">
        <f t="shared" si="49"/>
        <v>1</v>
      </c>
      <c r="B130" s="28">
        <f t="shared" si="45"/>
        <v>4</v>
      </c>
      <c r="C130" s="28">
        <f t="shared" si="46"/>
        <v>2028</v>
      </c>
      <c r="D130" s="30">
        <f t="shared" si="50"/>
        <v>46844</v>
      </c>
      <c r="E130" s="28">
        <f>IF(D130&lt;=$B$16,IF($B$38=FOLHA!$XFB$2,ROUND(-$K$18,2),0),"")</f>
        <v>-7.5</v>
      </c>
      <c r="F130" s="28">
        <f t="shared" si="47"/>
        <v>-1.73</v>
      </c>
      <c r="G130" s="237">
        <f t="shared" si="48"/>
        <v>46844</v>
      </c>
    </row>
    <row r="131" spans="1:7" x14ac:dyDescent="0.2">
      <c r="A131" s="28">
        <f t="shared" si="49"/>
        <v>1</v>
      </c>
      <c r="B131" s="28">
        <f t="shared" si="45"/>
        <v>7</v>
      </c>
      <c r="C131" s="28">
        <f t="shared" ref="C131:C135" si="51">IF(A131="","",IF(B131&gt;B130,C130,C130+1))</f>
        <v>2028</v>
      </c>
      <c r="D131" s="30">
        <f t="shared" ref="D131:D135" si="52">IF(A131="","",DATE(C131,B131,A131))</f>
        <v>46935</v>
      </c>
      <c r="E131" s="28">
        <f>IF(D131&lt;=$B$16,IF($B$38=FOLHA!$XFB$2,ROUND(-$K$18,2),0),"")</f>
        <v>-7.5</v>
      </c>
      <c r="F131" s="28">
        <f t="shared" si="47"/>
        <v>-1.73</v>
      </c>
      <c r="G131" s="237">
        <f t="shared" si="48"/>
        <v>46935</v>
      </c>
    </row>
    <row r="132" spans="1:7" x14ac:dyDescent="0.2">
      <c r="A132" s="28">
        <f t="shared" si="49"/>
        <v>1</v>
      </c>
      <c r="B132" s="28">
        <f t="shared" si="45"/>
        <v>10</v>
      </c>
      <c r="C132" s="28">
        <f t="shared" si="51"/>
        <v>2028</v>
      </c>
      <c r="D132" s="30">
        <f t="shared" si="52"/>
        <v>47027</v>
      </c>
      <c r="E132" s="28">
        <f>IF(D132&lt;=$B$16,IF($B$38=FOLHA!$XFB$2,ROUND(-$K$18,2),0),"")</f>
        <v>-7.5</v>
      </c>
      <c r="F132" s="28">
        <f t="shared" si="47"/>
        <v>-1.73</v>
      </c>
      <c r="G132" s="237">
        <f t="shared" si="48"/>
        <v>47027</v>
      </c>
    </row>
    <row r="133" spans="1:7" x14ac:dyDescent="0.2">
      <c r="A133" s="28">
        <f t="shared" si="49"/>
        <v>1</v>
      </c>
      <c r="B133" s="28">
        <f t="shared" si="45"/>
        <v>1</v>
      </c>
      <c r="C133" s="28">
        <f t="shared" si="51"/>
        <v>2029</v>
      </c>
      <c r="D133" s="30">
        <f t="shared" si="52"/>
        <v>47119</v>
      </c>
      <c r="E133" s="28">
        <f>IF(D133&lt;=$B$16,IF($B$38=FOLHA!$XFB$2,ROUND(-$K$18,2),0),"")</f>
        <v>-7.5</v>
      </c>
      <c r="F133" s="28">
        <f t="shared" si="47"/>
        <v>-1.73</v>
      </c>
      <c r="G133" s="237">
        <f t="shared" si="48"/>
        <v>47119</v>
      </c>
    </row>
    <row r="134" spans="1:7" x14ac:dyDescent="0.2">
      <c r="A134" s="28">
        <f t="shared" si="49"/>
        <v>1</v>
      </c>
      <c r="B134" s="28">
        <f t="shared" si="45"/>
        <v>4</v>
      </c>
      <c r="C134" s="28">
        <f t="shared" si="51"/>
        <v>2029</v>
      </c>
      <c r="D134" s="30">
        <f t="shared" si="52"/>
        <v>47209</v>
      </c>
      <c r="E134" s="28">
        <f>IF(D134&lt;=$B$16,IF($B$38=FOLHA!$XFB$2,ROUND(-$K$18,2),0),"")</f>
        <v>-7.5</v>
      </c>
      <c r="F134" s="28">
        <f t="shared" si="47"/>
        <v>-1.73</v>
      </c>
      <c r="G134" s="237">
        <f t="shared" si="48"/>
        <v>47209</v>
      </c>
    </row>
    <row r="135" spans="1:7" x14ac:dyDescent="0.2">
      <c r="A135" s="28">
        <f t="shared" si="49"/>
        <v>1</v>
      </c>
      <c r="B135" s="28">
        <f t="shared" si="45"/>
        <v>7</v>
      </c>
      <c r="C135" s="28">
        <f t="shared" si="51"/>
        <v>2029</v>
      </c>
      <c r="D135" s="30">
        <f t="shared" si="52"/>
        <v>47300</v>
      </c>
      <c r="E135" s="28">
        <f>IF(D135&lt;=$B$16,IF($B$38=FOLHA!$XFB$2,ROUND(-$K$18,2),0),"")</f>
        <v>-7.5</v>
      </c>
      <c r="F135" s="28">
        <f t="shared" si="47"/>
        <v>-1.73</v>
      </c>
      <c r="G135" s="237">
        <f t="shared" si="48"/>
        <v>47300</v>
      </c>
    </row>
    <row r="136" spans="1:7" x14ac:dyDescent="0.2">
      <c r="A136" s="28">
        <f t="shared" si="49"/>
        <v>1</v>
      </c>
      <c r="B136" s="28">
        <f t="shared" ref="B136:B146" si="53">IF(A136="","",VLOOKUP(B135,$A$102:$B$113,2,FALSE))</f>
        <v>10</v>
      </c>
      <c r="C136" s="28">
        <f t="shared" ref="C136:C146" si="54">IF(A136="","",IF(B136&gt;B135,C135,C135+1))</f>
        <v>2029</v>
      </c>
      <c r="D136" s="30">
        <f t="shared" ref="D136:D146" si="55">IF(A136="","",DATE(C136,B136,A136))</f>
        <v>47392</v>
      </c>
      <c r="E136" s="28">
        <f>IF(D136&lt;=$B$16,IF($B$38=FOLHA!$XFB$2,ROUND(-$K$18,2),0),"")</f>
        <v>-7.5</v>
      </c>
      <c r="F136" s="28">
        <f t="shared" si="47"/>
        <v>-1.73</v>
      </c>
      <c r="G136" s="237">
        <f t="shared" si="48"/>
        <v>47392</v>
      </c>
    </row>
    <row r="137" spans="1:7" x14ac:dyDescent="0.2">
      <c r="A137" s="28" t="str">
        <f t="shared" si="49"/>
        <v/>
      </c>
      <c r="B137" s="28" t="str">
        <f t="shared" si="53"/>
        <v/>
      </c>
      <c r="C137" s="28" t="str">
        <f t="shared" si="54"/>
        <v/>
      </c>
      <c r="D137" s="30" t="str">
        <f>IF(A137="","",DATE(C137,B137,A137))</f>
        <v/>
      </c>
      <c r="E137" s="28" t="str">
        <f>IF(D137&lt;=$B$16,IF($B$38=FOLHA!$XFB$2,ROUND(-$K$18,2),0),"")</f>
        <v/>
      </c>
      <c r="F137" s="28" t="str">
        <f t="shared" si="47"/>
        <v/>
      </c>
      <c r="G137" s="237" t="str">
        <f t="shared" si="48"/>
        <v/>
      </c>
    </row>
    <row r="138" spans="1:7" x14ac:dyDescent="0.2">
      <c r="A138" s="28" t="str">
        <f>IF(A137="","",IF((D137+89)&gt;=$B$16,"",1))</f>
        <v/>
      </c>
      <c r="B138" s="28" t="str">
        <f t="shared" si="53"/>
        <v/>
      </c>
      <c r="C138" s="28" t="str">
        <f t="shared" si="54"/>
        <v/>
      </c>
      <c r="D138" s="30" t="str">
        <f t="shared" si="55"/>
        <v/>
      </c>
      <c r="E138" s="28" t="str">
        <f>IF(D138&lt;=$B$16,IF($B$38=FOLHA!$XFB$2,ROUND(-$K$18,2),0),"")</f>
        <v/>
      </c>
      <c r="F138" s="28" t="str">
        <f t="shared" si="47"/>
        <v/>
      </c>
      <c r="G138" s="237" t="str">
        <f t="shared" si="48"/>
        <v/>
      </c>
    </row>
    <row r="139" spans="1:7" x14ac:dyDescent="0.2">
      <c r="A139" s="28" t="str">
        <f t="shared" ref="A139:A146" si="56">IF(A138="","",IF((D138+89)&gt;=$B$16,"",1))</f>
        <v/>
      </c>
      <c r="B139" s="28" t="str">
        <f t="shared" si="53"/>
        <v/>
      </c>
      <c r="C139" s="28" t="str">
        <f t="shared" si="54"/>
        <v/>
      </c>
      <c r="D139" s="30" t="str">
        <f t="shared" si="55"/>
        <v/>
      </c>
      <c r="E139" s="28" t="str">
        <f>IF(D139&lt;=$B$16,IF($B$38=FOLHA!$XFB$2,ROUND(-$K$18,2),0),"")</f>
        <v/>
      </c>
      <c r="F139" s="28" t="str">
        <f t="shared" si="47"/>
        <v/>
      </c>
      <c r="G139" s="237" t="str">
        <f t="shared" si="48"/>
        <v/>
      </c>
    </row>
    <row r="140" spans="1:7" x14ac:dyDescent="0.2">
      <c r="A140" s="28" t="str">
        <f t="shared" si="56"/>
        <v/>
      </c>
      <c r="B140" s="28" t="str">
        <f t="shared" si="53"/>
        <v/>
      </c>
      <c r="C140" s="28" t="str">
        <f t="shared" si="54"/>
        <v/>
      </c>
      <c r="D140" s="30" t="str">
        <f t="shared" si="55"/>
        <v/>
      </c>
      <c r="E140" s="28" t="str">
        <f>IF(D140&lt;=$B$16,IF($B$38=FOLHA!$XFB$2,ROUND(-$K$18,2),0),"")</f>
        <v/>
      </c>
      <c r="F140" s="28" t="str">
        <f t="shared" si="47"/>
        <v/>
      </c>
      <c r="G140" s="237" t="str">
        <f t="shared" si="48"/>
        <v/>
      </c>
    </row>
    <row r="141" spans="1:7" x14ac:dyDescent="0.2">
      <c r="A141" s="28" t="str">
        <f t="shared" si="56"/>
        <v/>
      </c>
      <c r="B141" s="28" t="str">
        <f t="shared" si="53"/>
        <v/>
      </c>
      <c r="C141" s="28" t="str">
        <f t="shared" si="54"/>
        <v/>
      </c>
      <c r="D141" s="30" t="str">
        <f t="shared" si="55"/>
        <v/>
      </c>
      <c r="E141" s="28" t="str">
        <f>IF(D141&lt;=$B$16,IF($B$38=FOLHA!$XFB$2,ROUND(-$K$18,2),0),"")</f>
        <v/>
      </c>
      <c r="F141" s="28" t="str">
        <f t="shared" si="47"/>
        <v/>
      </c>
      <c r="G141" s="237" t="str">
        <f t="shared" si="48"/>
        <v/>
      </c>
    </row>
    <row r="142" spans="1:7" x14ac:dyDescent="0.2">
      <c r="A142" s="28" t="str">
        <f t="shared" si="56"/>
        <v/>
      </c>
      <c r="B142" s="28" t="str">
        <f t="shared" si="53"/>
        <v/>
      </c>
      <c r="C142" s="28" t="str">
        <f t="shared" si="54"/>
        <v/>
      </c>
      <c r="D142" s="30" t="str">
        <f t="shared" si="55"/>
        <v/>
      </c>
      <c r="E142" s="28" t="str">
        <f>IF(D142&lt;=$B$16,IF($B$38=FOLHA!$XFB$2,ROUND(-$K$18,2),0),"")</f>
        <v/>
      </c>
      <c r="F142" s="28" t="str">
        <f t="shared" si="47"/>
        <v/>
      </c>
      <c r="G142" s="237" t="str">
        <f t="shared" si="48"/>
        <v/>
      </c>
    </row>
    <row r="143" spans="1:7" x14ac:dyDescent="0.2">
      <c r="A143" s="28" t="str">
        <f t="shared" si="56"/>
        <v/>
      </c>
      <c r="B143" s="28" t="str">
        <f t="shared" si="53"/>
        <v/>
      </c>
      <c r="C143" s="28" t="str">
        <f t="shared" si="54"/>
        <v/>
      </c>
      <c r="D143" s="30" t="str">
        <f t="shared" si="55"/>
        <v/>
      </c>
      <c r="E143" s="28" t="str">
        <f>IF(D143&lt;=$B$16,IF($B$38=FOLHA!$XFB$2,ROUND(-$K$18,2),0),"")</f>
        <v/>
      </c>
      <c r="F143" s="28" t="str">
        <f t="shared" si="47"/>
        <v/>
      </c>
      <c r="G143" s="237" t="str">
        <f t="shared" si="48"/>
        <v/>
      </c>
    </row>
    <row r="144" spans="1:7" x14ac:dyDescent="0.2">
      <c r="A144" s="28" t="str">
        <f t="shared" si="56"/>
        <v/>
      </c>
      <c r="B144" s="28" t="str">
        <f t="shared" si="53"/>
        <v/>
      </c>
      <c r="C144" s="28" t="str">
        <f t="shared" si="54"/>
        <v/>
      </c>
      <c r="D144" s="30" t="str">
        <f t="shared" si="55"/>
        <v/>
      </c>
      <c r="E144" s="28" t="str">
        <f>IF(D144&lt;=$B$16,IF($B$38=FOLHA!$XFB$2,ROUND(-$K$18,2),0),"")</f>
        <v/>
      </c>
      <c r="F144" s="28" t="str">
        <f t="shared" si="47"/>
        <v/>
      </c>
      <c r="G144" s="237" t="str">
        <f t="shared" si="48"/>
        <v/>
      </c>
    </row>
    <row r="145" spans="1:88" x14ac:dyDescent="0.2">
      <c r="A145" s="28" t="str">
        <f t="shared" si="56"/>
        <v/>
      </c>
      <c r="B145" s="28" t="str">
        <f t="shared" si="53"/>
        <v/>
      </c>
      <c r="C145" s="28" t="str">
        <f t="shared" si="54"/>
        <v/>
      </c>
      <c r="D145" s="30" t="str">
        <f t="shared" si="55"/>
        <v/>
      </c>
      <c r="E145" s="28" t="str">
        <f>IF(D145&lt;=$B$16,IF($B$38=FOLHA!$XFB$2,ROUND(-$K$18,2),0),"")</f>
        <v/>
      </c>
      <c r="F145" s="28" t="str">
        <f t="shared" si="47"/>
        <v/>
      </c>
      <c r="G145" s="237" t="str">
        <f t="shared" si="48"/>
        <v/>
      </c>
    </row>
    <row r="146" spans="1:88" x14ac:dyDescent="0.2">
      <c r="A146" s="28" t="str">
        <f t="shared" si="56"/>
        <v/>
      </c>
      <c r="B146" s="28" t="str">
        <f t="shared" si="53"/>
        <v/>
      </c>
      <c r="C146" s="28" t="str">
        <f t="shared" si="54"/>
        <v/>
      </c>
      <c r="D146" s="30" t="str">
        <f t="shared" si="55"/>
        <v/>
      </c>
      <c r="E146" s="28" t="str">
        <f>IF(D146&lt;=$B$16,IF($B$38=FOLHA!$XFB$2,ROUND(-$K$18,2),0),"")</f>
        <v/>
      </c>
      <c r="F146" s="28" t="str">
        <f t="shared" si="47"/>
        <v/>
      </c>
      <c r="G146" s="237" t="str">
        <f t="shared" si="48"/>
        <v/>
      </c>
    </row>
    <row r="147" spans="1:88" ht="14.25" x14ac:dyDescent="0.2">
      <c r="E147" s="80">
        <f>SUM(E117:E146)</f>
        <v>-150</v>
      </c>
      <c r="F147" s="80">
        <f t="shared" ref="F147" si="57">IF(E147="","",ROUND((E147*0.23),2))</f>
        <v>-34.5</v>
      </c>
      <c r="AN147" s="2">
        <f>COUNT(AM151:AM197)</f>
        <v>12</v>
      </c>
    </row>
    <row r="148" spans="1:88" x14ac:dyDescent="0.2">
      <c r="D148" s="78"/>
    </row>
    <row r="149" spans="1:88" ht="19.5" x14ac:dyDescent="0.25">
      <c r="A149" s="475" t="s">
        <v>74</v>
      </c>
      <c r="B149" s="475"/>
      <c r="C149" s="475"/>
      <c r="D149" s="475"/>
      <c r="E149" s="475"/>
      <c r="F149" s="475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  <c r="X149" s="475"/>
      <c r="Y149" s="475"/>
      <c r="Z149" s="475"/>
      <c r="AA149" s="475"/>
      <c r="AB149" s="475"/>
      <c r="AC149" s="475"/>
      <c r="AD149" s="475"/>
      <c r="AE149" s="475"/>
      <c r="AF149" s="475"/>
      <c r="AG149" s="475"/>
      <c r="AH149" s="475"/>
      <c r="AI149" s="475"/>
      <c r="AJ149" s="475"/>
      <c r="AK149" s="475"/>
      <c r="AL149" s="475"/>
      <c r="AM149" s="475"/>
      <c r="AN149" s="475"/>
      <c r="AO149" s="475"/>
      <c r="AP149" s="475"/>
      <c r="AQ149" s="475"/>
      <c r="AR149" s="475"/>
      <c r="AS149" s="475"/>
      <c r="AT149" s="475"/>
      <c r="AU149" s="475"/>
      <c r="AV149" s="475"/>
      <c r="AW149" s="475"/>
      <c r="AX149" s="475"/>
      <c r="AY149" s="475"/>
      <c r="AZ149" s="475"/>
      <c r="BA149" s="475"/>
      <c r="BB149" s="475"/>
      <c r="BC149" s="475"/>
      <c r="BD149" s="475"/>
      <c r="BE149" s="475"/>
      <c r="BF149" s="475"/>
      <c r="BG149" s="475"/>
      <c r="BH149" s="475"/>
      <c r="BI149" s="475"/>
      <c r="BJ149" s="475"/>
      <c r="BK149" s="475"/>
      <c r="BL149" s="475"/>
      <c r="BM149" s="475"/>
      <c r="BN149" s="475"/>
      <c r="BO149" s="475"/>
      <c r="BP149" s="475"/>
      <c r="BQ149" s="475"/>
      <c r="BR149" s="475"/>
      <c r="BS149" s="475"/>
      <c r="BT149" s="475"/>
      <c r="BU149" s="475"/>
      <c r="BV149" s="475"/>
      <c r="BW149" s="475"/>
      <c r="BX149" s="475"/>
      <c r="BY149" s="475"/>
      <c r="BZ149" s="475"/>
      <c r="CA149" s="475"/>
      <c r="CB149" s="475"/>
      <c r="CC149" s="475"/>
      <c r="CD149" s="475"/>
      <c r="CE149" s="475"/>
      <c r="CF149" s="475"/>
      <c r="CG149" s="475"/>
      <c r="CH149" s="475"/>
      <c r="CI149" s="475"/>
      <c r="CJ149" s="475"/>
    </row>
    <row r="150" spans="1:88" x14ac:dyDescent="0.2">
      <c r="A150" s="31"/>
      <c r="B150" s="31">
        <v>1</v>
      </c>
      <c r="C150" s="31"/>
      <c r="D150" s="31">
        <v>2</v>
      </c>
      <c r="E150" s="31"/>
      <c r="F150" s="31">
        <v>3</v>
      </c>
      <c r="G150" s="31"/>
      <c r="H150" s="31">
        <v>4</v>
      </c>
      <c r="I150" s="31"/>
      <c r="J150" s="31">
        <v>5</v>
      </c>
      <c r="K150" s="31"/>
      <c r="L150" s="31">
        <v>6</v>
      </c>
      <c r="M150" s="31"/>
      <c r="N150" s="31">
        <v>7</v>
      </c>
      <c r="O150" s="31"/>
      <c r="P150" s="31">
        <v>8</v>
      </c>
      <c r="Q150" s="31"/>
      <c r="R150" s="31">
        <v>9</v>
      </c>
      <c r="S150" s="31"/>
      <c r="T150" s="31">
        <v>10</v>
      </c>
      <c r="U150" s="31"/>
      <c r="V150" s="31">
        <v>11</v>
      </c>
      <c r="W150" s="31"/>
      <c r="X150" s="31">
        <v>12</v>
      </c>
      <c r="Y150" s="31"/>
      <c r="Z150" s="31">
        <v>13</v>
      </c>
      <c r="AA150" s="31"/>
      <c r="AB150" s="31">
        <v>14</v>
      </c>
      <c r="AC150" s="31"/>
      <c r="AD150" s="31">
        <v>15</v>
      </c>
      <c r="AE150" s="31"/>
      <c r="AF150" s="31">
        <v>16</v>
      </c>
      <c r="AG150" s="31"/>
      <c r="AH150" s="31">
        <v>17</v>
      </c>
      <c r="AI150" s="31"/>
      <c r="AJ150" s="31">
        <v>18</v>
      </c>
      <c r="AK150" s="31"/>
      <c r="AL150" s="31">
        <v>19</v>
      </c>
      <c r="AM150" s="31"/>
      <c r="AN150" s="31">
        <v>20</v>
      </c>
      <c r="AO150" s="31"/>
      <c r="AP150" s="31">
        <v>21</v>
      </c>
      <c r="AQ150" s="31"/>
      <c r="AR150" s="31">
        <v>22</v>
      </c>
      <c r="AS150" s="31"/>
      <c r="AT150" s="31">
        <v>23</v>
      </c>
      <c r="AU150" s="31"/>
      <c r="AV150" s="31">
        <v>24</v>
      </c>
      <c r="AW150" s="31"/>
      <c r="AX150" s="31">
        <v>25</v>
      </c>
      <c r="AY150" s="31"/>
      <c r="AZ150" s="31">
        <v>26</v>
      </c>
      <c r="BA150" s="31"/>
      <c r="BB150" s="31">
        <v>27</v>
      </c>
      <c r="BC150" s="31"/>
      <c r="BD150" s="31">
        <v>28</v>
      </c>
      <c r="BE150" s="31"/>
      <c r="BF150" s="31">
        <v>29</v>
      </c>
      <c r="BG150" s="31"/>
      <c r="BH150" s="31">
        <v>30</v>
      </c>
      <c r="BI150" s="31"/>
      <c r="BJ150" s="31">
        <v>31</v>
      </c>
      <c r="BK150" s="31"/>
      <c r="BL150" s="31">
        <v>32</v>
      </c>
      <c r="BM150" s="31"/>
      <c r="BN150" s="31">
        <v>33</v>
      </c>
      <c r="BO150" s="31"/>
      <c r="BP150" s="31">
        <v>34</v>
      </c>
      <c r="BQ150" s="31"/>
      <c r="BR150" s="31">
        <v>35</v>
      </c>
      <c r="BS150" s="31"/>
      <c r="BT150" s="31">
        <v>36</v>
      </c>
      <c r="BU150" s="31"/>
      <c r="BV150" s="31">
        <v>37</v>
      </c>
      <c r="BW150" s="31"/>
      <c r="BX150" s="31">
        <v>38</v>
      </c>
      <c r="BY150" s="31"/>
      <c r="BZ150" s="31">
        <v>39</v>
      </c>
      <c r="CA150" s="31"/>
      <c r="CB150" s="31">
        <v>40</v>
      </c>
      <c r="CC150" s="31"/>
      <c r="CD150" s="31">
        <v>41</v>
      </c>
      <c r="CE150" s="31"/>
      <c r="CF150" s="31">
        <v>42</v>
      </c>
      <c r="CG150" s="31"/>
      <c r="CH150" s="31">
        <v>43</v>
      </c>
      <c r="CI150" s="31"/>
      <c r="CJ150" s="31">
        <v>44</v>
      </c>
    </row>
    <row r="151" spans="1:88" x14ac:dyDescent="0.2">
      <c r="A151" s="32">
        <f t="shared" ref="A151:A167" si="58">C79</f>
        <v>45581</v>
      </c>
      <c r="B151" s="32">
        <f>IF(COUNT(A$151:A$197)=0,"",MIN(A$151:A$197))</f>
        <v>45581</v>
      </c>
      <c r="C151" s="32" t="str">
        <f>IF(B151=A151,"",A151)</f>
        <v/>
      </c>
      <c r="D151" s="32">
        <f>IF(COUNT(C$151:C$197)=0,"",MIN(C$151:C$197))</f>
        <v>45658</v>
      </c>
      <c r="E151" s="32" t="str">
        <f>IF(D151=C151,"",C151)</f>
        <v/>
      </c>
      <c r="F151" s="32">
        <f>IF(COUNT(E$151:E$197)=0,"",MIN(E$151:E$197))</f>
        <v>45748</v>
      </c>
      <c r="G151" s="32" t="str">
        <f>IF(F151=E151,"",E151)</f>
        <v/>
      </c>
      <c r="H151" s="32">
        <f>IF(COUNT(G$151:G$197)=0,"",MIN(G$151:G$197))</f>
        <v>45763</v>
      </c>
      <c r="I151" s="32" t="str">
        <f>IF(H151=G151,"",G151)</f>
        <v/>
      </c>
      <c r="J151" s="32">
        <f>IF(COUNT(I$151:I$197)=0,"",MIN(I$151:I$197))</f>
        <v>45839</v>
      </c>
      <c r="K151" s="32" t="str">
        <f>IF(J151=I151,"",I151)</f>
        <v/>
      </c>
      <c r="L151" s="32">
        <f>IF(COUNT(K$151:K$197)=0,"",MIN(K$151:K$197))</f>
        <v>45931</v>
      </c>
      <c r="M151" s="32" t="str">
        <f>IF(L151=K151,"",K151)</f>
        <v/>
      </c>
      <c r="N151" s="32">
        <f>IF(COUNT(M$151:M$197)=0,"",MIN(M$151:M$197))</f>
        <v>45946</v>
      </c>
      <c r="O151" s="32" t="str">
        <f>IF(N151=M151,"",M151)</f>
        <v/>
      </c>
      <c r="P151" s="32">
        <f>IF(COUNT(O$151:O$197)=0,"",MIN(O$151:O$197))</f>
        <v>46023</v>
      </c>
      <c r="Q151" s="32" t="str">
        <f>IF(P151=O151,"",O151)</f>
        <v/>
      </c>
      <c r="R151" s="32">
        <f>IF(COUNT(Q$151:Q$197)=0,"",MIN(Q$151:Q$197))</f>
        <v>46113</v>
      </c>
      <c r="S151" s="32" t="str">
        <f>IF(R151=Q151,"",Q151)</f>
        <v/>
      </c>
      <c r="T151" s="32">
        <f>IF(COUNT(S$151:S$197)=0,"",MIN(S$151:S$197))</f>
        <v>46128</v>
      </c>
      <c r="U151" s="32" t="str">
        <f>IF(T151=S151,"",S151)</f>
        <v/>
      </c>
      <c r="V151" s="32">
        <f>IF(COUNT(U$151:U$197)=0,"",MIN(U$151:U$197))</f>
        <v>46204</v>
      </c>
      <c r="W151" s="32" t="str">
        <f>IF(V151=U151,"",U151)</f>
        <v/>
      </c>
      <c r="X151" s="32">
        <f>IF(COUNT(W$151:W$197)=0,"",MIN(W$151:W$197))</f>
        <v>46296</v>
      </c>
      <c r="Y151" s="32" t="str">
        <f>IF(X151=W151,"",W151)</f>
        <v/>
      </c>
      <c r="Z151" s="32">
        <f>IF(COUNT(Y$151:Y$197)=0,"",MIN(Y$151:Y$197))</f>
        <v>46311</v>
      </c>
      <c r="AA151" s="32" t="str">
        <f>IF(Z151=Y151,"",Y151)</f>
        <v/>
      </c>
      <c r="AB151" s="32">
        <f>IF(COUNT(AA$151:AA$197)=0,"",MIN(AA$151:AA$197))</f>
        <v>46388</v>
      </c>
      <c r="AC151" s="32" t="str">
        <f>IF(AB151=AA151,"",AA151)</f>
        <v/>
      </c>
      <c r="AD151" s="32">
        <f>IF(COUNT(AC$151:AC$197)=0,"",MIN(AC$151:AC$197))</f>
        <v>46478</v>
      </c>
      <c r="AE151" s="32" t="str">
        <f>IF(AD151=AC151,"",AC151)</f>
        <v/>
      </c>
      <c r="AF151" s="32">
        <f>IF(COUNT(AE$151:AE$197)=0,"",MIN(AE$151:AE$197))</f>
        <v>46493</v>
      </c>
      <c r="AG151" s="32" t="str">
        <f>IF(AF151=AE151,"",AE151)</f>
        <v/>
      </c>
      <c r="AH151" s="32">
        <f>IF(COUNT(AG$151:AG$197)=0,"",MIN(AG$151:AG$197))</f>
        <v>46569</v>
      </c>
      <c r="AI151" s="32" t="str">
        <f>IF(AH151=AG151,"",AG151)</f>
        <v/>
      </c>
      <c r="AJ151" s="32">
        <f>IF(COUNT(AI$151:AI$197)=0,"",MIN(AI$151:AI$197))</f>
        <v>46661</v>
      </c>
      <c r="AK151" s="32" t="str">
        <f>IF(AJ151=AI151,"",AI151)</f>
        <v/>
      </c>
      <c r="AL151" s="32">
        <f>IF(COUNT(AK$151:AK$197)=0,"",MIN(AK$151:AK$197))</f>
        <v>46676</v>
      </c>
      <c r="AM151" s="32" t="str">
        <f>IF(AL151=AK151,"",AK151)</f>
        <v/>
      </c>
      <c r="AN151" s="32">
        <f>IF(COUNT(AM$151:AM$197)=0,"",MIN(AM$151:AM$197))</f>
        <v>46753</v>
      </c>
      <c r="AO151" s="32" t="str">
        <f>IF(AN151=AM151,"",AM151)</f>
        <v/>
      </c>
      <c r="AP151" s="32">
        <f>IF(COUNT(AO$151:AO$197)=0,"",MIN(AO$151:AO$197))</f>
        <v>46844</v>
      </c>
      <c r="AQ151" s="32" t="str">
        <f>IF(AP151=AO151,"",AO151)</f>
        <v/>
      </c>
      <c r="AR151" s="32">
        <f>IF(COUNT(AQ$151:AQ$197)=0,"",MIN(AQ$151:AQ$197))</f>
        <v>46859</v>
      </c>
      <c r="AS151" s="32" t="str">
        <f>IF(AR151=AQ151,"",AQ151)</f>
        <v/>
      </c>
      <c r="AT151" s="32">
        <f>IF(COUNT(AS$151:AS$197)=0,"",MIN(AS$151:AS$197))</f>
        <v>46935</v>
      </c>
      <c r="AU151" s="32" t="str">
        <f>IF(AT151=AS151,"",AS151)</f>
        <v/>
      </c>
      <c r="AV151" s="32">
        <f>IF(COUNT(AU$151:AU$197)=0,"",MIN(AU$151:AU$197))</f>
        <v>47027</v>
      </c>
      <c r="AW151" s="32" t="str">
        <f>IF(AV151=AU151,"",AU151)</f>
        <v/>
      </c>
      <c r="AX151" s="32">
        <f>IF(COUNT(AW$151:AW$197)=0,"",MIN(AW$151:AW$197))</f>
        <v>47042</v>
      </c>
      <c r="AY151" s="32" t="str">
        <f>IF(AX151=AW151,"",AW151)</f>
        <v/>
      </c>
      <c r="AZ151" s="32">
        <f>IF(COUNT(AY$151:AY$197)=0,"",MIN(AY$151:AY$197))</f>
        <v>47119</v>
      </c>
      <c r="BA151" s="32" t="str">
        <f>IF(AZ151=AY151,"",AY151)</f>
        <v/>
      </c>
      <c r="BB151" s="32">
        <f>IF(COUNT(BA$151:BA$197)=0,"",MIN(BA$151:BA$197))</f>
        <v>47209</v>
      </c>
      <c r="BC151" s="32" t="str">
        <f>IF(BB151=BA151,"",BA151)</f>
        <v/>
      </c>
      <c r="BD151" s="32">
        <f>IF(COUNT(BC$151:BC$197)=0,"",MIN(BC$151:BC$197))</f>
        <v>47224</v>
      </c>
      <c r="BE151" s="32" t="str">
        <f>IF(BD151=BC151,"",BC151)</f>
        <v/>
      </c>
      <c r="BF151" s="32">
        <f>IF(COUNT(BE$151:BE$197)=0,"",MIN(BE$151:BE$197))</f>
        <v>47300</v>
      </c>
      <c r="BG151" s="32" t="str">
        <f>IF(BF151=BE151,"",BE151)</f>
        <v/>
      </c>
      <c r="BH151" s="32">
        <f>IF(COUNT(BG$151:BG$197)=0,"",MIN(BG$151:BG$197))</f>
        <v>47392</v>
      </c>
      <c r="BI151" s="32" t="str">
        <f>IF(BH151=BG151,"",BG151)</f>
        <v/>
      </c>
      <c r="BJ151" s="32">
        <f>IF(COUNT(BI$151:BI$197)=0,"",MIN(BI$151:BI$197))</f>
        <v>47407</v>
      </c>
      <c r="BK151" s="32" t="str">
        <f>IF(BJ151=BI151,"",BI151)</f>
        <v/>
      </c>
      <c r="BL151" s="32" t="str">
        <f>IF(COUNT(BK$151:BK$197)=0,"",MIN(BK$151:BK$197))</f>
        <v/>
      </c>
      <c r="BM151" s="32" t="str">
        <f>IF(BL151=BK151,"",BK151)</f>
        <v/>
      </c>
      <c r="BN151" s="32" t="str">
        <f>IF(COUNT(BM$151:BM$197)=0,"",MIN(BM$151:BM$197))</f>
        <v/>
      </c>
      <c r="BO151" s="32" t="str">
        <f>IF(BN151=BM151,"",BM151)</f>
        <v/>
      </c>
      <c r="BP151" s="32" t="str">
        <f>IF(COUNT(BO$151:BO$197)=0,"",MIN(BO$151:BO$197))</f>
        <v/>
      </c>
      <c r="BQ151" s="32" t="str">
        <f>IF(BP151=BO151,"",BO151)</f>
        <v/>
      </c>
      <c r="BR151" s="32" t="str">
        <f>IF(COUNT(BQ$151:BQ$197)=0,"",MIN(BQ$151:BQ$197))</f>
        <v/>
      </c>
      <c r="BS151" s="32" t="str">
        <f>IF(BR151=BQ151,"",BQ151)</f>
        <v/>
      </c>
      <c r="BT151" s="32" t="str">
        <f>IF(COUNT(BS$151:BS$197)=0,"",MIN(BS$151:BS$197))</f>
        <v/>
      </c>
      <c r="BU151" s="32" t="str">
        <f>IF(BT151=BS151,"",BS151)</f>
        <v/>
      </c>
      <c r="BV151" s="32" t="str">
        <f>IF(COUNT(BU$151:BU$197)=0,"",MIN(BU$151:BU$197))</f>
        <v/>
      </c>
      <c r="BW151" s="32" t="str">
        <f>IF(BV151=BU151,"",BU151)</f>
        <v/>
      </c>
      <c r="BX151" s="32" t="str">
        <f>IF(COUNT(BW$151:BW$197)=0,"",MIN(BW$151:BW$197))</f>
        <v/>
      </c>
      <c r="BY151" s="32" t="str">
        <f>IF(BX151=BW151,"",BW151)</f>
        <v/>
      </c>
      <c r="BZ151" s="32" t="str">
        <f>IF(COUNT(BY$151:BY$197)=0,"",MIN(BY$151:BY$197))</f>
        <v/>
      </c>
      <c r="CA151" s="32" t="str">
        <f>IF(BZ151=BY151,"",BY151)</f>
        <v/>
      </c>
      <c r="CB151" s="32" t="str">
        <f>IF(COUNT(CA$151:CA$197)=0,"",MIN(CA$151:CA$197))</f>
        <v/>
      </c>
      <c r="CC151" s="32" t="str">
        <f>IF(CB151=CA151,"",CA151)</f>
        <v/>
      </c>
      <c r="CD151" s="32" t="str">
        <f>IF(COUNT(CC$151:CC$197)=0,"",MIN(CC$151:CC$197))</f>
        <v/>
      </c>
      <c r="CE151" s="32" t="str">
        <f>IF(CD151=CC151,"",CC151)</f>
        <v/>
      </c>
      <c r="CF151" s="32" t="str">
        <f>IF(COUNT(CE$151:CE$197)=0,"",MIN(CE$151:CE$197))</f>
        <v/>
      </c>
      <c r="CG151" s="32" t="str">
        <f>IF(CF151=CE151,"",CE151)</f>
        <v/>
      </c>
      <c r="CH151" s="32" t="str">
        <f>IF(COUNT(CG$151:CG$197)=0,"",MIN(CG$151:CG$197))</f>
        <v/>
      </c>
      <c r="CI151" s="32" t="str">
        <f>IF(CH151=CG151,"",CG151)</f>
        <v/>
      </c>
      <c r="CJ151" s="32" t="str">
        <f>IF(COUNT(CI$151:CI$197)=0,"",MIN(CI$151:CI$197))</f>
        <v/>
      </c>
    </row>
    <row r="152" spans="1:88" x14ac:dyDescent="0.2">
      <c r="A152" s="32">
        <f t="shared" si="58"/>
        <v>45763</v>
      </c>
      <c r="B152" s="32">
        <f t="shared" ref="B152:B197" si="59">IF(COUNT(A$151:A$197)=0,"",MIN(A$151:A$197))</f>
        <v>45581</v>
      </c>
      <c r="C152" s="32">
        <f t="shared" ref="C152:C197" si="60">IF(B152=A152,"",A152)</f>
        <v>45763</v>
      </c>
      <c r="D152" s="32">
        <f t="shared" ref="D152:D197" si="61">IF(COUNT(C$151:C$197)=0,"",MIN(C$151:C$197))</f>
        <v>45658</v>
      </c>
      <c r="E152" s="32">
        <f t="shared" ref="E152:E197" si="62">IF(D152=C152,"",C152)</f>
        <v>45763</v>
      </c>
      <c r="F152" s="32">
        <f t="shared" ref="F152:F197" si="63">IF(COUNT(E$151:E$197)=0,"",MIN(E$151:E$197))</f>
        <v>45748</v>
      </c>
      <c r="G152" s="32">
        <f t="shared" ref="G152:G197" si="64">IF(F152=E152,"",E152)</f>
        <v>45763</v>
      </c>
      <c r="H152" s="32">
        <f t="shared" ref="H152:H197" si="65">IF(COUNT(G$151:G$197)=0,"",MIN(G$151:G$197))</f>
        <v>45763</v>
      </c>
      <c r="I152" s="32" t="str">
        <f t="shared" ref="I152:I197" si="66">IF(H152=G152,"",G152)</f>
        <v/>
      </c>
      <c r="J152" s="32">
        <f t="shared" ref="J152:J197" si="67">IF(COUNT(I$151:I$197)=0,"",MIN(I$151:I$197))</f>
        <v>45839</v>
      </c>
      <c r="K152" s="32" t="str">
        <f t="shared" ref="K152:K197" si="68">IF(J152=I152,"",I152)</f>
        <v/>
      </c>
      <c r="L152" s="32">
        <f t="shared" ref="L152:L197" si="69">IF(COUNT(K$151:K$197)=0,"",MIN(K$151:K$197))</f>
        <v>45931</v>
      </c>
      <c r="M152" s="32" t="str">
        <f t="shared" ref="M152:M197" si="70">IF(L152=K152,"",K152)</f>
        <v/>
      </c>
      <c r="N152" s="32">
        <f t="shared" ref="N152:N197" si="71">IF(COUNT(M$151:M$197)=0,"",MIN(M$151:M$197))</f>
        <v>45946</v>
      </c>
      <c r="O152" s="32" t="str">
        <f t="shared" ref="O152:O197" si="72">IF(N152=M152,"",M152)</f>
        <v/>
      </c>
      <c r="P152" s="32">
        <f t="shared" ref="P152:P197" si="73">IF(COUNT(O$151:O$197)=0,"",MIN(O$151:O$197))</f>
        <v>46023</v>
      </c>
      <c r="Q152" s="32" t="str">
        <f t="shared" ref="Q152:Q197" si="74">IF(P152=O152,"",O152)</f>
        <v/>
      </c>
      <c r="R152" s="32">
        <f t="shared" ref="R152:R197" si="75">IF(COUNT(Q$151:Q$197)=0,"",MIN(Q$151:Q$197))</f>
        <v>46113</v>
      </c>
      <c r="S152" s="32" t="str">
        <f t="shared" ref="S152:S197" si="76">IF(R152=Q152,"",Q152)</f>
        <v/>
      </c>
      <c r="T152" s="32">
        <f t="shared" ref="T152:T197" si="77">IF(COUNT(S$151:S$197)=0,"",MIN(S$151:S$197))</f>
        <v>46128</v>
      </c>
      <c r="U152" s="32" t="str">
        <f t="shared" ref="U152:U197" si="78">IF(T152=S152,"",S152)</f>
        <v/>
      </c>
      <c r="V152" s="32">
        <f t="shared" ref="V152:V197" si="79">IF(COUNT(U$151:U$197)=0,"",MIN(U$151:U$197))</f>
        <v>46204</v>
      </c>
      <c r="W152" s="32" t="str">
        <f t="shared" ref="W152:W197" si="80">IF(V152=U152,"",U152)</f>
        <v/>
      </c>
      <c r="X152" s="32">
        <f t="shared" ref="X152:X197" si="81">IF(COUNT(W$151:W$197)=0,"",MIN(W$151:W$197))</f>
        <v>46296</v>
      </c>
      <c r="Y152" s="32" t="str">
        <f t="shared" ref="Y152:Y197" si="82">IF(X152=W152,"",W152)</f>
        <v/>
      </c>
      <c r="Z152" s="32">
        <f t="shared" ref="Z152:Z197" si="83">IF(COUNT(Y$151:Y$197)=0,"",MIN(Y$151:Y$197))</f>
        <v>46311</v>
      </c>
      <c r="AA152" s="32" t="str">
        <f t="shared" ref="AA152:AA197" si="84">IF(Z152=Y152,"",Y152)</f>
        <v/>
      </c>
      <c r="AB152" s="32">
        <f t="shared" ref="AB152:AB197" si="85">IF(COUNT(AA$151:AA$197)=0,"",MIN(AA$151:AA$197))</f>
        <v>46388</v>
      </c>
      <c r="AC152" s="32" t="str">
        <f t="shared" ref="AC152:AC197" si="86">IF(AB152=AA152,"",AA152)</f>
        <v/>
      </c>
      <c r="AD152" s="32">
        <f t="shared" ref="AD152:AD197" si="87">IF(COUNT(AC$151:AC$197)=0,"",MIN(AC$151:AC$197))</f>
        <v>46478</v>
      </c>
      <c r="AE152" s="32" t="str">
        <f t="shared" ref="AE152:AE197" si="88">IF(AD152=AC152,"",AC152)</f>
        <v/>
      </c>
      <c r="AF152" s="32">
        <f t="shared" ref="AF152:AF197" si="89">IF(COUNT(AE$151:AE$197)=0,"",MIN(AE$151:AE$197))</f>
        <v>46493</v>
      </c>
      <c r="AG152" s="32" t="str">
        <f t="shared" ref="AG152:AG197" si="90">IF(AF152=AE152,"",AE152)</f>
        <v/>
      </c>
      <c r="AH152" s="32">
        <f t="shared" ref="AH152:AH197" si="91">IF(COUNT(AG$151:AG$197)=0,"",MIN(AG$151:AG$197))</f>
        <v>46569</v>
      </c>
      <c r="AI152" s="32" t="str">
        <f t="shared" ref="AI152:AI197" si="92">IF(AH152=AG152,"",AG152)</f>
        <v/>
      </c>
      <c r="AJ152" s="32">
        <f t="shared" ref="AJ152:AJ197" si="93">IF(COUNT(AI$151:AI$197)=0,"",MIN(AI$151:AI$197))</f>
        <v>46661</v>
      </c>
      <c r="AK152" s="32" t="str">
        <f t="shared" ref="AK152:AK197" si="94">IF(AJ152=AI152,"",AI152)</f>
        <v/>
      </c>
      <c r="AL152" s="32">
        <f t="shared" ref="AL152:AL197" si="95">IF(COUNT(AK$151:AK$197)=0,"",MIN(AK$151:AK$197))</f>
        <v>46676</v>
      </c>
      <c r="AM152" s="32" t="str">
        <f t="shared" ref="AM152:AM197" si="96">IF(AL152=AK152,"",AK152)</f>
        <v/>
      </c>
      <c r="AN152" s="32">
        <f t="shared" ref="AN152:AN197" si="97">IF(COUNT(AM$151:AM$197)=0,"",MIN(AM$151:AM$197))</f>
        <v>46753</v>
      </c>
      <c r="AO152" s="32" t="str">
        <f t="shared" ref="AO152:AO197" si="98">IF(AN152=AM152,"",AM152)</f>
        <v/>
      </c>
      <c r="AP152" s="32">
        <f t="shared" ref="AP152:AP197" si="99">IF(COUNT(AO$151:AO$197)=0,"",MIN(AO$151:AO$197))</f>
        <v>46844</v>
      </c>
      <c r="AQ152" s="32" t="str">
        <f t="shared" ref="AQ152:AQ197" si="100">IF(AP152=AO152,"",AO152)</f>
        <v/>
      </c>
      <c r="AR152" s="32">
        <f t="shared" ref="AR152:AR197" si="101">IF(COUNT(AQ$151:AQ$197)=0,"",MIN(AQ$151:AQ$197))</f>
        <v>46859</v>
      </c>
      <c r="AS152" s="32" t="str">
        <f t="shared" ref="AS152:AS197" si="102">IF(AR152=AQ152,"",AQ152)</f>
        <v/>
      </c>
      <c r="AT152" s="32">
        <f t="shared" ref="AT152:AT197" si="103">IF(COUNT(AS$151:AS$197)=0,"",MIN(AS$151:AS$197))</f>
        <v>46935</v>
      </c>
      <c r="AU152" s="32" t="str">
        <f t="shared" ref="AU152:AU197" si="104">IF(AT152=AS152,"",AS152)</f>
        <v/>
      </c>
      <c r="AV152" s="32">
        <f t="shared" ref="AV152:AV197" si="105">IF(COUNT(AU$151:AU$197)=0,"",MIN(AU$151:AU$197))</f>
        <v>47027</v>
      </c>
      <c r="AW152" s="32" t="str">
        <f t="shared" ref="AW152:AW197" si="106">IF(AV152=AU152,"",AU152)</f>
        <v/>
      </c>
      <c r="AX152" s="32">
        <f t="shared" ref="AX152:AX197" si="107">IF(COUNT(AW$151:AW$197)=0,"",MIN(AW$151:AW$197))</f>
        <v>47042</v>
      </c>
      <c r="AY152" s="32" t="str">
        <f t="shared" ref="AY152:AY197" si="108">IF(AX152=AW152,"",AW152)</f>
        <v/>
      </c>
      <c r="AZ152" s="32">
        <f t="shared" ref="AZ152:AZ197" si="109">IF(COUNT(AY$151:AY$197)=0,"",MIN(AY$151:AY$197))</f>
        <v>47119</v>
      </c>
      <c r="BA152" s="32" t="str">
        <f t="shared" ref="BA152:BA197" si="110">IF(AZ152=AY152,"",AY152)</f>
        <v/>
      </c>
      <c r="BB152" s="32">
        <f t="shared" ref="BB152:BB197" si="111">IF(COUNT(BA$151:BA$197)=0,"",MIN(BA$151:BA$197))</f>
        <v>47209</v>
      </c>
      <c r="BC152" s="32" t="str">
        <f t="shared" ref="BC152:BC197" si="112">IF(BB152=BA152,"",BA152)</f>
        <v/>
      </c>
      <c r="BD152" s="32">
        <f t="shared" ref="BD152:BD197" si="113">IF(COUNT(BC$151:BC$197)=0,"",MIN(BC$151:BC$197))</f>
        <v>47224</v>
      </c>
      <c r="BE152" s="32" t="str">
        <f t="shared" ref="BE152:BE197" si="114">IF(BD152=BC152,"",BC152)</f>
        <v/>
      </c>
      <c r="BF152" s="32">
        <f t="shared" ref="BF152:BF197" si="115">IF(COUNT(BE$151:BE$197)=0,"",MIN(BE$151:BE$197))</f>
        <v>47300</v>
      </c>
      <c r="BG152" s="32" t="str">
        <f t="shared" ref="BG152:BG197" si="116">IF(BF152=BE152,"",BE152)</f>
        <v/>
      </c>
      <c r="BH152" s="32">
        <f t="shared" ref="BH152:BH197" si="117">IF(COUNT(BG$151:BG$197)=0,"",MIN(BG$151:BG$197))</f>
        <v>47392</v>
      </c>
      <c r="BI152" s="32" t="str">
        <f t="shared" ref="BI152:BI197" si="118">IF(BH152=BG152,"",BG152)</f>
        <v/>
      </c>
      <c r="BJ152" s="32">
        <f t="shared" ref="BJ152:BJ197" si="119">IF(COUNT(BI$151:BI$197)=0,"",MIN(BI$151:BI$197))</f>
        <v>47407</v>
      </c>
      <c r="BK152" s="32" t="str">
        <f t="shared" ref="BK152:BK197" si="120">IF(BJ152=BI152,"",BI152)</f>
        <v/>
      </c>
      <c r="BL152" s="32" t="str">
        <f t="shared" ref="BL152:BL197" si="121">IF(COUNT(BK$151:BK$197)=0,"",MIN(BK$151:BK$197))</f>
        <v/>
      </c>
      <c r="BM152" s="32" t="str">
        <f t="shared" ref="BM152:BM197" si="122">IF(BL152=BK152,"",BK152)</f>
        <v/>
      </c>
      <c r="BN152" s="32" t="str">
        <f t="shared" ref="BN152:BN197" si="123">IF(COUNT(BM$151:BM$197)=0,"",MIN(BM$151:BM$197))</f>
        <v/>
      </c>
      <c r="BO152" s="32" t="str">
        <f t="shared" ref="BO152:BO197" si="124">IF(BN152=BM152,"",BM152)</f>
        <v/>
      </c>
      <c r="BP152" s="32" t="str">
        <f t="shared" ref="BP152:BP197" si="125">IF(COUNT(BO$151:BO$197)=0,"",MIN(BO$151:BO$197))</f>
        <v/>
      </c>
      <c r="BQ152" s="32" t="str">
        <f t="shared" ref="BQ152:BQ197" si="126">IF(BP152=BO152,"",BO152)</f>
        <v/>
      </c>
      <c r="BR152" s="32" t="str">
        <f t="shared" ref="BR152:BR197" si="127">IF(COUNT(BQ$151:BQ$197)=0,"",MIN(BQ$151:BQ$197))</f>
        <v/>
      </c>
      <c r="BS152" s="32" t="str">
        <f t="shared" ref="BS152:BS197" si="128">IF(BR152=BQ152,"",BQ152)</f>
        <v/>
      </c>
      <c r="BT152" s="32" t="str">
        <f t="shared" ref="BT152:BT197" si="129">IF(COUNT(BS$151:BS$197)=0,"",MIN(BS$151:BS$197))</f>
        <v/>
      </c>
      <c r="BU152" s="32" t="str">
        <f t="shared" ref="BU152:BU197" si="130">IF(BT152=BS152,"",BS152)</f>
        <v/>
      </c>
      <c r="BV152" s="32" t="str">
        <f t="shared" ref="BV152:BV197" si="131">IF(COUNT(BU$151:BU$197)=0,"",MIN(BU$151:BU$197))</f>
        <v/>
      </c>
      <c r="BW152" s="32" t="str">
        <f t="shared" ref="BW152:BW197" si="132">IF(BV152=BU152,"",BU152)</f>
        <v/>
      </c>
      <c r="BX152" s="32" t="str">
        <f t="shared" ref="BX152:BX197" si="133">IF(COUNT(BW$151:BW$197)=0,"",MIN(BW$151:BW$197))</f>
        <v/>
      </c>
      <c r="BY152" s="32" t="str">
        <f t="shared" ref="BY152:BY197" si="134">IF(BX152=BW152,"",BW152)</f>
        <v/>
      </c>
      <c r="BZ152" s="32" t="str">
        <f t="shared" ref="BZ152:BZ197" si="135">IF(COUNT(BY$151:BY$197)=0,"",MIN(BY$151:BY$197))</f>
        <v/>
      </c>
      <c r="CA152" s="32" t="str">
        <f t="shared" ref="CA152:CA197" si="136">IF(BZ152=BY152,"",BY152)</f>
        <v/>
      </c>
      <c r="CB152" s="32" t="str">
        <f t="shared" ref="CB152:CB197" si="137">IF(COUNT(CA$151:CA$197)=0,"",MIN(CA$151:CA$197))</f>
        <v/>
      </c>
      <c r="CC152" s="32" t="str">
        <f t="shared" ref="CC152:CC197" si="138">IF(CB152=CA152,"",CA152)</f>
        <v/>
      </c>
      <c r="CD152" s="32" t="str">
        <f t="shared" ref="CD152:CD197" si="139">IF(COUNT(CC$151:CC$197)=0,"",MIN(CC$151:CC$197))</f>
        <v/>
      </c>
      <c r="CE152" s="32" t="str">
        <f t="shared" ref="CE152:CE197" si="140">IF(CD152=CC152,"",CC152)</f>
        <v/>
      </c>
      <c r="CF152" s="32" t="str">
        <f t="shared" ref="CF152:CF197" si="141">IF(COUNT(CE$151:CE$197)=0,"",MIN(CE$151:CE$197))</f>
        <v/>
      </c>
      <c r="CG152" s="32" t="str">
        <f t="shared" ref="CG152:CG197" si="142">IF(CF152=CE152,"",CE152)</f>
        <v/>
      </c>
      <c r="CH152" s="32" t="str">
        <f t="shared" ref="CH152:CH197" si="143">IF(COUNT(CG$151:CG$197)=0,"",MIN(CG$151:CG$197))</f>
        <v/>
      </c>
      <c r="CI152" s="32" t="str">
        <f t="shared" ref="CI152:CI197" si="144">IF(CH152=CG152,"",CG152)</f>
        <v/>
      </c>
      <c r="CJ152" s="32" t="str">
        <f t="shared" ref="CJ152:CJ197" si="145">IF(COUNT(CI$151:CI$197)=0,"",MIN(CI$151:CI$197))</f>
        <v/>
      </c>
    </row>
    <row r="153" spans="1:88" x14ac:dyDescent="0.2">
      <c r="A153" s="32">
        <f t="shared" si="58"/>
        <v>45946</v>
      </c>
      <c r="B153" s="32">
        <f t="shared" si="59"/>
        <v>45581</v>
      </c>
      <c r="C153" s="32">
        <f t="shared" si="60"/>
        <v>45946</v>
      </c>
      <c r="D153" s="32">
        <f t="shared" si="61"/>
        <v>45658</v>
      </c>
      <c r="E153" s="32">
        <f t="shared" si="62"/>
        <v>45946</v>
      </c>
      <c r="F153" s="32">
        <f t="shared" si="63"/>
        <v>45748</v>
      </c>
      <c r="G153" s="32">
        <f t="shared" si="64"/>
        <v>45946</v>
      </c>
      <c r="H153" s="32">
        <f t="shared" si="65"/>
        <v>45763</v>
      </c>
      <c r="I153" s="32">
        <f t="shared" si="66"/>
        <v>45946</v>
      </c>
      <c r="J153" s="32">
        <f t="shared" si="67"/>
        <v>45839</v>
      </c>
      <c r="K153" s="32">
        <f t="shared" si="68"/>
        <v>45946</v>
      </c>
      <c r="L153" s="32">
        <f t="shared" si="69"/>
        <v>45931</v>
      </c>
      <c r="M153" s="32">
        <f t="shared" si="70"/>
        <v>45946</v>
      </c>
      <c r="N153" s="32">
        <f t="shared" si="71"/>
        <v>45946</v>
      </c>
      <c r="O153" s="32" t="str">
        <f t="shared" si="72"/>
        <v/>
      </c>
      <c r="P153" s="32">
        <f t="shared" si="73"/>
        <v>46023</v>
      </c>
      <c r="Q153" s="32" t="str">
        <f t="shared" si="74"/>
        <v/>
      </c>
      <c r="R153" s="32">
        <f t="shared" si="75"/>
        <v>46113</v>
      </c>
      <c r="S153" s="32" t="str">
        <f t="shared" si="76"/>
        <v/>
      </c>
      <c r="T153" s="32">
        <f t="shared" si="77"/>
        <v>46128</v>
      </c>
      <c r="U153" s="32" t="str">
        <f t="shared" si="78"/>
        <v/>
      </c>
      <c r="V153" s="32">
        <f t="shared" si="79"/>
        <v>46204</v>
      </c>
      <c r="W153" s="32" t="str">
        <f t="shared" si="80"/>
        <v/>
      </c>
      <c r="X153" s="32">
        <f t="shared" si="81"/>
        <v>46296</v>
      </c>
      <c r="Y153" s="32" t="str">
        <f t="shared" si="82"/>
        <v/>
      </c>
      <c r="Z153" s="32">
        <f t="shared" si="83"/>
        <v>46311</v>
      </c>
      <c r="AA153" s="32" t="str">
        <f t="shared" si="84"/>
        <v/>
      </c>
      <c r="AB153" s="32">
        <f t="shared" si="85"/>
        <v>46388</v>
      </c>
      <c r="AC153" s="32" t="str">
        <f t="shared" si="86"/>
        <v/>
      </c>
      <c r="AD153" s="32">
        <f t="shared" si="87"/>
        <v>46478</v>
      </c>
      <c r="AE153" s="32" t="str">
        <f t="shared" si="88"/>
        <v/>
      </c>
      <c r="AF153" s="32">
        <f t="shared" si="89"/>
        <v>46493</v>
      </c>
      <c r="AG153" s="32" t="str">
        <f t="shared" si="90"/>
        <v/>
      </c>
      <c r="AH153" s="32">
        <f t="shared" si="91"/>
        <v>46569</v>
      </c>
      <c r="AI153" s="32" t="str">
        <f t="shared" si="92"/>
        <v/>
      </c>
      <c r="AJ153" s="32">
        <f t="shared" si="93"/>
        <v>46661</v>
      </c>
      <c r="AK153" s="32" t="str">
        <f t="shared" si="94"/>
        <v/>
      </c>
      <c r="AL153" s="32">
        <f t="shared" si="95"/>
        <v>46676</v>
      </c>
      <c r="AM153" s="32" t="str">
        <f t="shared" si="96"/>
        <v/>
      </c>
      <c r="AN153" s="32">
        <f t="shared" si="97"/>
        <v>46753</v>
      </c>
      <c r="AO153" s="32" t="str">
        <f t="shared" si="98"/>
        <v/>
      </c>
      <c r="AP153" s="32">
        <f t="shared" si="99"/>
        <v>46844</v>
      </c>
      <c r="AQ153" s="32" t="str">
        <f t="shared" si="100"/>
        <v/>
      </c>
      <c r="AR153" s="32">
        <f t="shared" si="101"/>
        <v>46859</v>
      </c>
      <c r="AS153" s="32" t="str">
        <f t="shared" si="102"/>
        <v/>
      </c>
      <c r="AT153" s="32">
        <f t="shared" si="103"/>
        <v>46935</v>
      </c>
      <c r="AU153" s="32" t="str">
        <f t="shared" si="104"/>
        <v/>
      </c>
      <c r="AV153" s="32">
        <f t="shared" si="105"/>
        <v>47027</v>
      </c>
      <c r="AW153" s="32" t="str">
        <f t="shared" si="106"/>
        <v/>
      </c>
      <c r="AX153" s="32">
        <f t="shared" si="107"/>
        <v>47042</v>
      </c>
      <c r="AY153" s="32" t="str">
        <f t="shared" si="108"/>
        <v/>
      </c>
      <c r="AZ153" s="32">
        <f t="shared" si="109"/>
        <v>47119</v>
      </c>
      <c r="BA153" s="32" t="str">
        <f t="shared" si="110"/>
        <v/>
      </c>
      <c r="BB153" s="32">
        <f t="shared" si="111"/>
        <v>47209</v>
      </c>
      <c r="BC153" s="32" t="str">
        <f t="shared" si="112"/>
        <v/>
      </c>
      <c r="BD153" s="32">
        <f t="shared" si="113"/>
        <v>47224</v>
      </c>
      <c r="BE153" s="32" t="str">
        <f t="shared" si="114"/>
        <v/>
      </c>
      <c r="BF153" s="32">
        <f t="shared" si="115"/>
        <v>47300</v>
      </c>
      <c r="BG153" s="32" t="str">
        <f t="shared" si="116"/>
        <v/>
      </c>
      <c r="BH153" s="32">
        <f t="shared" si="117"/>
        <v>47392</v>
      </c>
      <c r="BI153" s="32" t="str">
        <f t="shared" si="118"/>
        <v/>
      </c>
      <c r="BJ153" s="32">
        <f t="shared" si="119"/>
        <v>47407</v>
      </c>
      <c r="BK153" s="32" t="str">
        <f t="shared" si="120"/>
        <v/>
      </c>
      <c r="BL153" s="32" t="str">
        <f t="shared" si="121"/>
        <v/>
      </c>
      <c r="BM153" s="32" t="str">
        <f t="shared" si="122"/>
        <v/>
      </c>
      <c r="BN153" s="32" t="str">
        <f t="shared" si="123"/>
        <v/>
      </c>
      <c r="BO153" s="32" t="str">
        <f t="shared" si="124"/>
        <v/>
      </c>
      <c r="BP153" s="32" t="str">
        <f t="shared" si="125"/>
        <v/>
      </c>
      <c r="BQ153" s="32" t="str">
        <f t="shared" si="126"/>
        <v/>
      </c>
      <c r="BR153" s="32" t="str">
        <f t="shared" si="127"/>
        <v/>
      </c>
      <c r="BS153" s="32" t="str">
        <f t="shared" si="128"/>
        <v/>
      </c>
      <c r="BT153" s="32" t="str">
        <f t="shared" si="129"/>
        <v/>
      </c>
      <c r="BU153" s="32" t="str">
        <f t="shared" si="130"/>
        <v/>
      </c>
      <c r="BV153" s="32" t="str">
        <f t="shared" si="131"/>
        <v/>
      </c>
      <c r="BW153" s="32" t="str">
        <f t="shared" si="132"/>
        <v/>
      </c>
      <c r="BX153" s="32" t="str">
        <f t="shared" si="133"/>
        <v/>
      </c>
      <c r="BY153" s="32" t="str">
        <f t="shared" si="134"/>
        <v/>
      </c>
      <c r="BZ153" s="32" t="str">
        <f t="shared" si="135"/>
        <v/>
      </c>
      <c r="CA153" s="32" t="str">
        <f t="shared" si="136"/>
        <v/>
      </c>
      <c r="CB153" s="32" t="str">
        <f t="shared" si="137"/>
        <v/>
      </c>
      <c r="CC153" s="32" t="str">
        <f t="shared" si="138"/>
        <v/>
      </c>
      <c r="CD153" s="32" t="str">
        <f t="shared" si="139"/>
        <v/>
      </c>
      <c r="CE153" s="32" t="str">
        <f t="shared" si="140"/>
        <v/>
      </c>
      <c r="CF153" s="32" t="str">
        <f t="shared" si="141"/>
        <v/>
      </c>
      <c r="CG153" s="32" t="str">
        <f t="shared" si="142"/>
        <v/>
      </c>
      <c r="CH153" s="32" t="str">
        <f t="shared" si="143"/>
        <v/>
      </c>
      <c r="CI153" s="32" t="str">
        <f t="shared" si="144"/>
        <v/>
      </c>
      <c r="CJ153" s="32" t="str">
        <f t="shared" si="145"/>
        <v/>
      </c>
    </row>
    <row r="154" spans="1:88" x14ac:dyDescent="0.2">
      <c r="A154" s="32">
        <f t="shared" si="58"/>
        <v>46128</v>
      </c>
      <c r="B154" s="32">
        <f t="shared" si="59"/>
        <v>45581</v>
      </c>
      <c r="C154" s="32">
        <f t="shared" si="60"/>
        <v>46128</v>
      </c>
      <c r="D154" s="32">
        <f t="shared" si="61"/>
        <v>45658</v>
      </c>
      <c r="E154" s="32">
        <f t="shared" si="62"/>
        <v>46128</v>
      </c>
      <c r="F154" s="32">
        <f t="shared" si="63"/>
        <v>45748</v>
      </c>
      <c r="G154" s="32">
        <f t="shared" si="64"/>
        <v>46128</v>
      </c>
      <c r="H154" s="32">
        <f t="shared" si="65"/>
        <v>45763</v>
      </c>
      <c r="I154" s="32">
        <f t="shared" si="66"/>
        <v>46128</v>
      </c>
      <c r="J154" s="32">
        <f t="shared" si="67"/>
        <v>45839</v>
      </c>
      <c r="K154" s="32">
        <f t="shared" si="68"/>
        <v>46128</v>
      </c>
      <c r="L154" s="32">
        <f t="shared" si="69"/>
        <v>45931</v>
      </c>
      <c r="M154" s="32">
        <f t="shared" si="70"/>
        <v>46128</v>
      </c>
      <c r="N154" s="32">
        <f t="shared" si="71"/>
        <v>45946</v>
      </c>
      <c r="O154" s="32">
        <f t="shared" si="72"/>
        <v>46128</v>
      </c>
      <c r="P154" s="32">
        <f t="shared" si="73"/>
        <v>46023</v>
      </c>
      <c r="Q154" s="32">
        <f t="shared" si="74"/>
        <v>46128</v>
      </c>
      <c r="R154" s="32">
        <f t="shared" si="75"/>
        <v>46113</v>
      </c>
      <c r="S154" s="32">
        <f t="shared" si="76"/>
        <v>46128</v>
      </c>
      <c r="T154" s="32">
        <f t="shared" si="77"/>
        <v>46128</v>
      </c>
      <c r="U154" s="32" t="str">
        <f t="shared" si="78"/>
        <v/>
      </c>
      <c r="V154" s="32">
        <f t="shared" si="79"/>
        <v>46204</v>
      </c>
      <c r="W154" s="32" t="str">
        <f t="shared" si="80"/>
        <v/>
      </c>
      <c r="X154" s="32">
        <f t="shared" si="81"/>
        <v>46296</v>
      </c>
      <c r="Y154" s="32" t="str">
        <f t="shared" si="82"/>
        <v/>
      </c>
      <c r="Z154" s="32">
        <f t="shared" si="83"/>
        <v>46311</v>
      </c>
      <c r="AA154" s="32" t="str">
        <f t="shared" si="84"/>
        <v/>
      </c>
      <c r="AB154" s="32">
        <f t="shared" si="85"/>
        <v>46388</v>
      </c>
      <c r="AC154" s="32" t="str">
        <f t="shared" si="86"/>
        <v/>
      </c>
      <c r="AD154" s="32">
        <f t="shared" si="87"/>
        <v>46478</v>
      </c>
      <c r="AE154" s="32" t="str">
        <f t="shared" si="88"/>
        <v/>
      </c>
      <c r="AF154" s="32">
        <f t="shared" si="89"/>
        <v>46493</v>
      </c>
      <c r="AG154" s="32" t="str">
        <f t="shared" si="90"/>
        <v/>
      </c>
      <c r="AH154" s="32">
        <f t="shared" si="91"/>
        <v>46569</v>
      </c>
      <c r="AI154" s="32" t="str">
        <f t="shared" si="92"/>
        <v/>
      </c>
      <c r="AJ154" s="32">
        <f t="shared" si="93"/>
        <v>46661</v>
      </c>
      <c r="AK154" s="32" t="str">
        <f t="shared" si="94"/>
        <v/>
      </c>
      <c r="AL154" s="32">
        <f t="shared" si="95"/>
        <v>46676</v>
      </c>
      <c r="AM154" s="32" t="str">
        <f t="shared" si="96"/>
        <v/>
      </c>
      <c r="AN154" s="32">
        <f t="shared" si="97"/>
        <v>46753</v>
      </c>
      <c r="AO154" s="32" t="str">
        <f t="shared" si="98"/>
        <v/>
      </c>
      <c r="AP154" s="32">
        <f t="shared" si="99"/>
        <v>46844</v>
      </c>
      <c r="AQ154" s="32" t="str">
        <f t="shared" si="100"/>
        <v/>
      </c>
      <c r="AR154" s="32">
        <f t="shared" si="101"/>
        <v>46859</v>
      </c>
      <c r="AS154" s="32" t="str">
        <f t="shared" si="102"/>
        <v/>
      </c>
      <c r="AT154" s="32">
        <f t="shared" si="103"/>
        <v>46935</v>
      </c>
      <c r="AU154" s="32" t="str">
        <f t="shared" si="104"/>
        <v/>
      </c>
      <c r="AV154" s="32">
        <f t="shared" si="105"/>
        <v>47027</v>
      </c>
      <c r="AW154" s="32" t="str">
        <f t="shared" si="106"/>
        <v/>
      </c>
      <c r="AX154" s="32">
        <f t="shared" si="107"/>
        <v>47042</v>
      </c>
      <c r="AY154" s="32" t="str">
        <f t="shared" si="108"/>
        <v/>
      </c>
      <c r="AZ154" s="32">
        <f t="shared" si="109"/>
        <v>47119</v>
      </c>
      <c r="BA154" s="32" t="str">
        <f t="shared" si="110"/>
        <v/>
      </c>
      <c r="BB154" s="32">
        <f t="shared" si="111"/>
        <v>47209</v>
      </c>
      <c r="BC154" s="32" t="str">
        <f t="shared" si="112"/>
        <v/>
      </c>
      <c r="BD154" s="32">
        <f t="shared" si="113"/>
        <v>47224</v>
      </c>
      <c r="BE154" s="32" t="str">
        <f t="shared" si="114"/>
        <v/>
      </c>
      <c r="BF154" s="32">
        <f t="shared" si="115"/>
        <v>47300</v>
      </c>
      <c r="BG154" s="32" t="str">
        <f t="shared" si="116"/>
        <v/>
      </c>
      <c r="BH154" s="32">
        <f t="shared" si="117"/>
        <v>47392</v>
      </c>
      <c r="BI154" s="32" t="str">
        <f t="shared" si="118"/>
        <v/>
      </c>
      <c r="BJ154" s="32">
        <f t="shared" si="119"/>
        <v>47407</v>
      </c>
      <c r="BK154" s="32" t="str">
        <f t="shared" si="120"/>
        <v/>
      </c>
      <c r="BL154" s="32" t="str">
        <f t="shared" si="121"/>
        <v/>
      </c>
      <c r="BM154" s="32" t="str">
        <f t="shared" si="122"/>
        <v/>
      </c>
      <c r="BN154" s="32" t="str">
        <f t="shared" si="123"/>
        <v/>
      </c>
      <c r="BO154" s="32" t="str">
        <f t="shared" si="124"/>
        <v/>
      </c>
      <c r="BP154" s="32" t="str">
        <f t="shared" si="125"/>
        <v/>
      </c>
      <c r="BQ154" s="32" t="str">
        <f t="shared" si="126"/>
        <v/>
      </c>
      <c r="BR154" s="32" t="str">
        <f t="shared" si="127"/>
        <v/>
      </c>
      <c r="BS154" s="32" t="str">
        <f t="shared" si="128"/>
        <v/>
      </c>
      <c r="BT154" s="32" t="str">
        <f t="shared" si="129"/>
        <v/>
      </c>
      <c r="BU154" s="32" t="str">
        <f t="shared" si="130"/>
        <v/>
      </c>
      <c r="BV154" s="32" t="str">
        <f t="shared" si="131"/>
        <v/>
      </c>
      <c r="BW154" s="32" t="str">
        <f t="shared" si="132"/>
        <v/>
      </c>
      <c r="BX154" s="32" t="str">
        <f t="shared" si="133"/>
        <v/>
      </c>
      <c r="BY154" s="32" t="str">
        <f t="shared" si="134"/>
        <v/>
      </c>
      <c r="BZ154" s="32" t="str">
        <f t="shared" si="135"/>
        <v/>
      </c>
      <c r="CA154" s="32" t="str">
        <f t="shared" si="136"/>
        <v/>
      </c>
      <c r="CB154" s="32" t="str">
        <f t="shared" si="137"/>
        <v/>
      </c>
      <c r="CC154" s="32" t="str">
        <f t="shared" si="138"/>
        <v/>
      </c>
      <c r="CD154" s="32" t="str">
        <f t="shared" si="139"/>
        <v/>
      </c>
      <c r="CE154" s="32" t="str">
        <f t="shared" si="140"/>
        <v/>
      </c>
      <c r="CF154" s="32" t="str">
        <f t="shared" si="141"/>
        <v/>
      </c>
      <c r="CG154" s="32" t="str">
        <f t="shared" si="142"/>
        <v/>
      </c>
      <c r="CH154" s="32" t="str">
        <f t="shared" si="143"/>
        <v/>
      </c>
      <c r="CI154" s="32" t="str">
        <f t="shared" si="144"/>
        <v/>
      </c>
      <c r="CJ154" s="32" t="str">
        <f t="shared" si="145"/>
        <v/>
      </c>
    </row>
    <row r="155" spans="1:88" x14ac:dyDescent="0.2">
      <c r="A155" s="32">
        <f t="shared" si="58"/>
        <v>46311</v>
      </c>
      <c r="B155" s="32">
        <f t="shared" si="59"/>
        <v>45581</v>
      </c>
      <c r="C155" s="32">
        <f t="shared" si="60"/>
        <v>46311</v>
      </c>
      <c r="D155" s="32">
        <f t="shared" si="61"/>
        <v>45658</v>
      </c>
      <c r="E155" s="32">
        <f t="shared" si="62"/>
        <v>46311</v>
      </c>
      <c r="F155" s="32">
        <f t="shared" si="63"/>
        <v>45748</v>
      </c>
      <c r="G155" s="32">
        <f t="shared" si="64"/>
        <v>46311</v>
      </c>
      <c r="H155" s="32">
        <f t="shared" si="65"/>
        <v>45763</v>
      </c>
      <c r="I155" s="32">
        <f t="shared" si="66"/>
        <v>46311</v>
      </c>
      <c r="J155" s="32">
        <f t="shared" si="67"/>
        <v>45839</v>
      </c>
      <c r="K155" s="32">
        <f t="shared" si="68"/>
        <v>46311</v>
      </c>
      <c r="L155" s="32">
        <f t="shared" si="69"/>
        <v>45931</v>
      </c>
      <c r="M155" s="32">
        <f t="shared" si="70"/>
        <v>46311</v>
      </c>
      <c r="N155" s="32">
        <f t="shared" si="71"/>
        <v>45946</v>
      </c>
      <c r="O155" s="32">
        <f t="shared" si="72"/>
        <v>46311</v>
      </c>
      <c r="P155" s="32">
        <f t="shared" si="73"/>
        <v>46023</v>
      </c>
      <c r="Q155" s="32">
        <f t="shared" si="74"/>
        <v>46311</v>
      </c>
      <c r="R155" s="32">
        <f t="shared" si="75"/>
        <v>46113</v>
      </c>
      <c r="S155" s="32">
        <f t="shared" si="76"/>
        <v>46311</v>
      </c>
      <c r="T155" s="32">
        <f t="shared" si="77"/>
        <v>46128</v>
      </c>
      <c r="U155" s="32">
        <f t="shared" si="78"/>
        <v>46311</v>
      </c>
      <c r="V155" s="32">
        <f t="shared" si="79"/>
        <v>46204</v>
      </c>
      <c r="W155" s="32">
        <f t="shared" si="80"/>
        <v>46311</v>
      </c>
      <c r="X155" s="32">
        <f t="shared" si="81"/>
        <v>46296</v>
      </c>
      <c r="Y155" s="32">
        <f t="shared" si="82"/>
        <v>46311</v>
      </c>
      <c r="Z155" s="32">
        <f t="shared" si="83"/>
        <v>46311</v>
      </c>
      <c r="AA155" s="32" t="str">
        <f t="shared" si="84"/>
        <v/>
      </c>
      <c r="AB155" s="32">
        <f t="shared" si="85"/>
        <v>46388</v>
      </c>
      <c r="AC155" s="32" t="str">
        <f t="shared" si="86"/>
        <v/>
      </c>
      <c r="AD155" s="32">
        <f t="shared" si="87"/>
        <v>46478</v>
      </c>
      <c r="AE155" s="32" t="str">
        <f t="shared" si="88"/>
        <v/>
      </c>
      <c r="AF155" s="32">
        <f t="shared" si="89"/>
        <v>46493</v>
      </c>
      <c r="AG155" s="32" t="str">
        <f t="shared" si="90"/>
        <v/>
      </c>
      <c r="AH155" s="32">
        <f t="shared" si="91"/>
        <v>46569</v>
      </c>
      <c r="AI155" s="32" t="str">
        <f t="shared" si="92"/>
        <v/>
      </c>
      <c r="AJ155" s="32">
        <f t="shared" si="93"/>
        <v>46661</v>
      </c>
      <c r="AK155" s="32" t="str">
        <f t="shared" si="94"/>
        <v/>
      </c>
      <c r="AL155" s="32">
        <f t="shared" si="95"/>
        <v>46676</v>
      </c>
      <c r="AM155" s="32" t="str">
        <f t="shared" si="96"/>
        <v/>
      </c>
      <c r="AN155" s="32">
        <f t="shared" si="97"/>
        <v>46753</v>
      </c>
      <c r="AO155" s="32" t="str">
        <f t="shared" si="98"/>
        <v/>
      </c>
      <c r="AP155" s="32">
        <f t="shared" si="99"/>
        <v>46844</v>
      </c>
      <c r="AQ155" s="32" t="str">
        <f t="shared" si="100"/>
        <v/>
      </c>
      <c r="AR155" s="32">
        <f t="shared" si="101"/>
        <v>46859</v>
      </c>
      <c r="AS155" s="32" t="str">
        <f t="shared" si="102"/>
        <v/>
      </c>
      <c r="AT155" s="32">
        <f t="shared" si="103"/>
        <v>46935</v>
      </c>
      <c r="AU155" s="32" t="str">
        <f t="shared" si="104"/>
        <v/>
      </c>
      <c r="AV155" s="32">
        <f t="shared" si="105"/>
        <v>47027</v>
      </c>
      <c r="AW155" s="32" t="str">
        <f t="shared" si="106"/>
        <v/>
      </c>
      <c r="AX155" s="32">
        <f t="shared" si="107"/>
        <v>47042</v>
      </c>
      <c r="AY155" s="32" t="str">
        <f t="shared" si="108"/>
        <v/>
      </c>
      <c r="AZ155" s="32">
        <f t="shared" si="109"/>
        <v>47119</v>
      </c>
      <c r="BA155" s="32" t="str">
        <f t="shared" si="110"/>
        <v/>
      </c>
      <c r="BB155" s="32">
        <f t="shared" si="111"/>
        <v>47209</v>
      </c>
      <c r="BC155" s="32" t="str">
        <f t="shared" si="112"/>
        <v/>
      </c>
      <c r="BD155" s="32">
        <f t="shared" si="113"/>
        <v>47224</v>
      </c>
      <c r="BE155" s="32" t="str">
        <f t="shared" si="114"/>
        <v/>
      </c>
      <c r="BF155" s="32">
        <f t="shared" si="115"/>
        <v>47300</v>
      </c>
      <c r="BG155" s="32" t="str">
        <f t="shared" si="116"/>
        <v/>
      </c>
      <c r="BH155" s="32">
        <f t="shared" si="117"/>
        <v>47392</v>
      </c>
      <c r="BI155" s="32" t="str">
        <f t="shared" si="118"/>
        <v/>
      </c>
      <c r="BJ155" s="32">
        <f t="shared" si="119"/>
        <v>47407</v>
      </c>
      <c r="BK155" s="32" t="str">
        <f t="shared" si="120"/>
        <v/>
      </c>
      <c r="BL155" s="32" t="str">
        <f t="shared" si="121"/>
        <v/>
      </c>
      <c r="BM155" s="32" t="str">
        <f t="shared" si="122"/>
        <v/>
      </c>
      <c r="BN155" s="32" t="str">
        <f t="shared" si="123"/>
        <v/>
      </c>
      <c r="BO155" s="32" t="str">
        <f t="shared" si="124"/>
        <v/>
      </c>
      <c r="BP155" s="32" t="str">
        <f t="shared" si="125"/>
        <v/>
      </c>
      <c r="BQ155" s="32" t="str">
        <f t="shared" si="126"/>
        <v/>
      </c>
      <c r="BR155" s="32" t="str">
        <f t="shared" si="127"/>
        <v/>
      </c>
      <c r="BS155" s="32" t="str">
        <f t="shared" si="128"/>
        <v/>
      </c>
      <c r="BT155" s="32" t="str">
        <f t="shared" si="129"/>
        <v/>
      </c>
      <c r="BU155" s="32" t="str">
        <f t="shared" si="130"/>
        <v/>
      </c>
      <c r="BV155" s="32" t="str">
        <f t="shared" si="131"/>
        <v/>
      </c>
      <c r="BW155" s="32" t="str">
        <f t="shared" si="132"/>
        <v/>
      </c>
      <c r="BX155" s="32" t="str">
        <f t="shared" si="133"/>
        <v/>
      </c>
      <c r="BY155" s="32" t="str">
        <f t="shared" si="134"/>
        <v/>
      </c>
      <c r="BZ155" s="32" t="str">
        <f t="shared" si="135"/>
        <v/>
      </c>
      <c r="CA155" s="32" t="str">
        <f t="shared" si="136"/>
        <v/>
      </c>
      <c r="CB155" s="32" t="str">
        <f t="shared" si="137"/>
        <v/>
      </c>
      <c r="CC155" s="32" t="str">
        <f t="shared" si="138"/>
        <v/>
      </c>
      <c r="CD155" s="32" t="str">
        <f t="shared" si="139"/>
        <v/>
      </c>
      <c r="CE155" s="32" t="str">
        <f t="shared" si="140"/>
        <v/>
      </c>
      <c r="CF155" s="32" t="str">
        <f t="shared" si="141"/>
        <v/>
      </c>
      <c r="CG155" s="32" t="str">
        <f t="shared" si="142"/>
        <v/>
      </c>
      <c r="CH155" s="32" t="str">
        <f t="shared" si="143"/>
        <v/>
      </c>
      <c r="CI155" s="32" t="str">
        <f t="shared" si="144"/>
        <v/>
      </c>
      <c r="CJ155" s="32" t="str">
        <f t="shared" si="145"/>
        <v/>
      </c>
    </row>
    <row r="156" spans="1:88" x14ac:dyDescent="0.2">
      <c r="A156" s="32">
        <f t="shared" si="58"/>
        <v>46493</v>
      </c>
      <c r="B156" s="32">
        <f t="shared" si="59"/>
        <v>45581</v>
      </c>
      <c r="C156" s="32">
        <f t="shared" si="60"/>
        <v>46493</v>
      </c>
      <c r="D156" s="32">
        <f t="shared" si="61"/>
        <v>45658</v>
      </c>
      <c r="E156" s="32">
        <f t="shared" si="62"/>
        <v>46493</v>
      </c>
      <c r="F156" s="32">
        <f t="shared" si="63"/>
        <v>45748</v>
      </c>
      <c r="G156" s="32">
        <f t="shared" si="64"/>
        <v>46493</v>
      </c>
      <c r="H156" s="32">
        <f t="shared" si="65"/>
        <v>45763</v>
      </c>
      <c r="I156" s="32">
        <f t="shared" si="66"/>
        <v>46493</v>
      </c>
      <c r="J156" s="32">
        <f t="shared" si="67"/>
        <v>45839</v>
      </c>
      <c r="K156" s="32">
        <f t="shared" si="68"/>
        <v>46493</v>
      </c>
      <c r="L156" s="32">
        <f t="shared" si="69"/>
        <v>45931</v>
      </c>
      <c r="M156" s="32">
        <f t="shared" si="70"/>
        <v>46493</v>
      </c>
      <c r="N156" s="32">
        <f t="shared" si="71"/>
        <v>45946</v>
      </c>
      <c r="O156" s="32">
        <f t="shared" si="72"/>
        <v>46493</v>
      </c>
      <c r="P156" s="32">
        <f t="shared" si="73"/>
        <v>46023</v>
      </c>
      <c r="Q156" s="32">
        <f t="shared" si="74"/>
        <v>46493</v>
      </c>
      <c r="R156" s="32">
        <f t="shared" si="75"/>
        <v>46113</v>
      </c>
      <c r="S156" s="32">
        <f t="shared" si="76"/>
        <v>46493</v>
      </c>
      <c r="T156" s="32">
        <f t="shared" si="77"/>
        <v>46128</v>
      </c>
      <c r="U156" s="32">
        <f t="shared" si="78"/>
        <v>46493</v>
      </c>
      <c r="V156" s="32">
        <f t="shared" si="79"/>
        <v>46204</v>
      </c>
      <c r="W156" s="32">
        <f t="shared" si="80"/>
        <v>46493</v>
      </c>
      <c r="X156" s="32">
        <f t="shared" si="81"/>
        <v>46296</v>
      </c>
      <c r="Y156" s="32">
        <f t="shared" si="82"/>
        <v>46493</v>
      </c>
      <c r="Z156" s="32">
        <f t="shared" si="83"/>
        <v>46311</v>
      </c>
      <c r="AA156" s="32">
        <f t="shared" si="84"/>
        <v>46493</v>
      </c>
      <c r="AB156" s="32">
        <f t="shared" si="85"/>
        <v>46388</v>
      </c>
      <c r="AC156" s="32">
        <f t="shared" si="86"/>
        <v>46493</v>
      </c>
      <c r="AD156" s="32">
        <f t="shared" si="87"/>
        <v>46478</v>
      </c>
      <c r="AE156" s="32">
        <f t="shared" si="88"/>
        <v>46493</v>
      </c>
      <c r="AF156" s="32">
        <f t="shared" si="89"/>
        <v>46493</v>
      </c>
      <c r="AG156" s="32" t="str">
        <f t="shared" si="90"/>
        <v/>
      </c>
      <c r="AH156" s="32">
        <f t="shared" si="91"/>
        <v>46569</v>
      </c>
      <c r="AI156" s="32" t="str">
        <f t="shared" si="92"/>
        <v/>
      </c>
      <c r="AJ156" s="32">
        <f t="shared" si="93"/>
        <v>46661</v>
      </c>
      <c r="AK156" s="32" t="str">
        <f t="shared" si="94"/>
        <v/>
      </c>
      <c r="AL156" s="32">
        <f t="shared" si="95"/>
        <v>46676</v>
      </c>
      <c r="AM156" s="32" t="str">
        <f t="shared" si="96"/>
        <v/>
      </c>
      <c r="AN156" s="32">
        <f t="shared" si="97"/>
        <v>46753</v>
      </c>
      <c r="AO156" s="32" t="str">
        <f t="shared" si="98"/>
        <v/>
      </c>
      <c r="AP156" s="32">
        <f t="shared" si="99"/>
        <v>46844</v>
      </c>
      <c r="AQ156" s="32" t="str">
        <f t="shared" si="100"/>
        <v/>
      </c>
      <c r="AR156" s="32">
        <f t="shared" si="101"/>
        <v>46859</v>
      </c>
      <c r="AS156" s="32" t="str">
        <f t="shared" si="102"/>
        <v/>
      </c>
      <c r="AT156" s="32">
        <f t="shared" si="103"/>
        <v>46935</v>
      </c>
      <c r="AU156" s="32" t="str">
        <f t="shared" si="104"/>
        <v/>
      </c>
      <c r="AV156" s="32">
        <f t="shared" si="105"/>
        <v>47027</v>
      </c>
      <c r="AW156" s="32" t="str">
        <f t="shared" si="106"/>
        <v/>
      </c>
      <c r="AX156" s="32">
        <f t="shared" si="107"/>
        <v>47042</v>
      </c>
      <c r="AY156" s="32" t="str">
        <f t="shared" si="108"/>
        <v/>
      </c>
      <c r="AZ156" s="32">
        <f t="shared" si="109"/>
        <v>47119</v>
      </c>
      <c r="BA156" s="32" t="str">
        <f t="shared" si="110"/>
        <v/>
      </c>
      <c r="BB156" s="32">
        <f t="shared" si="111"/>
        <v>47209</v>
      </c>
      <c r="BC156" s="32" t="str">
        <f t="shared" si="112"/>
        <v/>
      </c>
      <c r="BD156" s="32">
        <f t="shared" si="113"/>
        <v>47224</v>
      </c>
      <c r="BE156" s="32" t="str">
        <f t="shared" si="114"/>
        <v/>
      </c>
      <c r="BF156" s="32">
        <f t="shared" si="115"/>
        <v>47300</v>
      </c>
      <c r="BG156" s="32" t="str">
        <f t="shared" si="116"/>
        <v/>
      </c>
      <c r="BH156" s="32">
        <f t="shared" si="117"/>
        <v>47392</v>
      </c>
      <c r="BI156" s="32" t="str">
        <f t="shared" si="118"/>
        <v/>
      </c>
      <c r="BJ156" s="32">
        <f t="shared" si="119"/>
        <v>47407</v>
      </c>
      <c r="BK156" s="32" t="str">
        <f t="shared" si="120"/>
        <v/>
      </c>
      <c r="BL156" s="32" t="str">
        <f t="shared" si="121"/>
        <v/>
      </c>
      <c r="BM156" s="32" t="str">
        <f t="shared" si="122"/>
        <v/>
      </c>
      <c r="BN156" s="32" t="str">
        <f t="shared" si="123"/>
        <v/>
      </c>
      <c r="BO156" s="32" t="str">
        <f t="shared" si="124"/>
        <v/>
      </c>
      <c r="BP156" s="32" t="str">
        <f t="shared" si="125"/>
        <v/>
      </c>
      <c r="BQ156" s="32" t="str">
        <f t="shared" si="126"/>
        <v/>
      </c>
      <c r="BR156" s="32" t="str">
        <f t="shared" si="127"/>
        <v/>
      </c>
      <c r="BS156" s="32" t="str">
        <f t="shared" si="128"/>
        <v/>
      </c>
      <c r="BT156" s="32" t="str">
        <f t="shared" si="129"/>
        <v/>
      </c>
      <c r="BU156" s="32" t="str">
        <f t="shared" si="130"/>
        <v/>
      </c>
      <c r="BV156" s="32" t="str">
        <f t="shared" si="131"/>
        <v/>
      </c>
      <c r="BW156" s="32" t="str">
        <f t="shared" si="132"/>
        <v/>
      </c>
      <c r="BX156" s="32" t="str">
        <f t="shared" si="133"/>
        <v/>
      </c>
      <c r="BY156" s="32" t="str">
        <f t="shared" si="134"/>
        <v/>
      </c>
      <c r="BZ156" s="32" t="str">
        <f t="shared" si="135"/>
        <v/>
      </c>
      <c r="CA156" s="32" t="str">
        <f t="shared" si="136"/>
        <v/>
      </c>
      <c r="CB156" s="32" t="str">
        <f t="shared" si="137"/>
        <v/>
      </c>
      <c r="CC156" s="32" t="str">
        <f t="shared" si="138"/>
        <v/>
      </c>
      <c r="CD156" s="32" t="str">
        <f t="shared" si="139"/>
        <v/>
      </c>
      <c r="CE156" s="32" t="str">
        <f t="shared" si="140"/>
        <v/>
      </c>
      <c r="CF156" s="32" t="str">
        <f t="shared" si="141"/>
        <v/>
      </c>
      <c r="CG156" s="32" t="str">
        <f t="shared" si="142"/>
        <v/>
      </c>
      <c r="CH156" s="32" t="str">
        <f t="shared" si="143"/>
        <v/>
      </c>
      <c r="CI156" s="32" t="str">
        <f t="shared" si="144"/>
        <v/>
      </c>
      <c r="CJ156" s="32" t="str">
        <f t="shared" si="145"/>
        <v/>
      </c>
    </row>
    <row r="157" spans="1:88" x14ac:dyDescent="0.2">
      <c r="A157" s="32">
        <f t="shared" si="58"/>
        <v>46676</v>
      </c>
      <c r="B157" s="32">
        <f t="shared" si="59"/>
        <v>45581</v>
      </c>
      <c r="C157" s="32">
        <f t="shared" si="60"/>
        <v>46676</v>
      </c>
      <c r="D157" s="32">
        <f t="shared" si="61"/>
        <v>45658</v>
      </c>
      <c r="E157" s="32">
        <f t="shared" si="62"/>
        <v>46676</v>
      </c>
      <c r="F157" s="32">
        <f t="shared" si="63"/>
        <v>45748</v>
      </c>
      <c r="G157" s="32">
        <f t="shared" si="64"/>
        <v>46676</v>
      </c>
      <c r="H157" s="32">
        <f t="shared" si="65"/>
        <v>45763</v>
      </c>
      <c r="I157" s="32">
        <f t="shared" si="66"/>
        <v>46676</v>
      </c>
      <c r="J157" s="32">
        <f t="shared" si="67"/>
        <v>45839</v>
      </c>
      <c r="K157" s="32">
        <f t="shared" si="68"/>
        <v>46676</v>
      </c>
      <c r="L157" s="32">
        <f t="shared" si="69"/>
        <v>45931</v>
      </c>
      <c r="M157" s="32">
        <f t="shared" si="70"/>
        <v>46676</v>
      </c>
      <c r="N157" s="32">
        <f t="shared" si="71"/>
        <v>45946</v>
      </c>
      <c r="O157" s="32">
        <f t="shared" si="72"/>
        <v>46676</v>
      </c>
      <c r="P157" s="32">
        <f t="shared" si="73"/>
        <v>46023</v>
      </c>
      <c r="Q157" s="32">
        <f t="shared" si="74"/>
        <v>46676</v>
      </c>
      <c r="R157" s="32">
        <f t="shared" si="75"/>
        <v>46113</v>
      </c>
      <c r="S157" s="32">
        <f t="shared" si="76"/>
        <v>46676</v>
      </c>
      <c r="T157" s="32">
        <f t="shared" si="77"/>
        <v>46128</v>
      </c>
      <c r="U157" s="32">
        <f t="shared" si="78"/>
        <v>46676</v>
      </c>
      <c r="V157" s="32">
        <f t="shared" si="79"/>
        <v>46204</v>
      </c>
      <c r="W157" s="32">
        <f t="shared" si="80"/>
        <v>46676</v>
      </c>
      <c r="X157" s="32">
        <f t="shared" si="81"/>
        <v>46296</v>
      </c>
      <c r="Y157" s="32">
        <f t="shared" si="82"/>
        <v>46676</v>
      </c>
      <c r="Z157" s="32">
        <f t="shared" si="83"/>
        <v>46311</v>
      </c>
      <c r="AA157" s="32">
        <f t="shared" si="84"/>
        <v>46676</v>
      </c>
      <c r="AB157" s="32">
        <f t="shared" si="85"/>
        <v>46388</v>
      </c>
      <c r="AC157" s="32">
        <f t="shared" si="86"/>
        <v>46676</v>
      </c>
      <c r="AD157" s="32">
        <f t="shared" si="87"/>
        <v>46478</v>
      </c>
      <c r="AE157" s="32">
        <f t="shared" si="88"/>
        <v>46676</v>
      </c>
      <c r="AF157" s="32">
        <f t="shared" si="89"/>
        <v>46493</v>
      </c>
      <c r="AG157" s="32">
        <f t="shared" si="90"/>
        <v>46676</v>
      </c>
      <c r="AH157" s="32">
        <f t="shared" si="91"/>
        <v>46569</v>
      </c>
      <c r="AI157" s="32">
        <f t="shared" si="92"/>
        <v>46676</v>
      </c>
      <c r="AJ157" s="32">
        <f t="shared" si="93"/>
        <v>46661</v>
      </c>
      <c r="AK157" s="32">
        <f t="shared" si="94"/>
        <v>46676</v>
      </c>
      <c r="AL157" s="32">
        <f t="shared" si="95"/>
        <v>46676</v>
      </c>
      <c r="AM157" s="32" t="str">
        <f t="shared" si="96"/>
        <v/>
      </c>
      <c r="AN157" s="32">
        <f t="shared" si="97"/>
        <v>46753</v>
      </c>
      <c r="AO157" s="32" t="str">
        <f t="shared" si="98"/>
        <v/>
      </c>
      <c r="AP157" s="32">
        <f t="shared" si="99"/>
        <v>46844</v>
      </c>
      <c r="AQ157" s="32" t="str">
        <f t="shared" si="100"/>
        <v/>
      </c>
      <c r="AR157" s="32">
        <f t="shared" si="101"/>
        <v>46859</v>
      </c>
      <c r="AS157" s="32" t="str">
        <f t="shared" si="102"/>
        <v/>
      </c>
      <c r="AT157" s="32">
        <f t="shared" si="103"/>
        <v>46935</v>
      </c>
      <c r="AU157" s="32" t="str">
        <f t="shared" si="104"/>
        <v/>
      </c>
      <c r="AV157" s="32">
        <f t="shared" si="105"/>
        <v>47027</v>
      </c>
      <c r="AW157" s="32" t="str">
        <f t="shared" si="106"/>
        <v/>
      </c>
      <c r="AX157" s="32">
        <f t="shared" si="107"/>
        <v>47042</v>
      </c>
      <c r="AY157" s="32" t="str">
        <f t="shared" si="108"/>
        <v/>
      </c>
      <c r="AZ157" s="32">
        <f t="shared" si="109"/>
        <v>47119</v>
      </c>
      <c r="BA157" s="32" t="str">
        <f t="shared" si="110"/>
        <v/>
      </c>
      <c r="BB157" s="32">
        <f t="shared" si="111"/>
        <v>47209</v>
      </c>
      <c r="BC157" s="32" t="str">
        <f t="shared" si="112"/>
        <v/>
      </c>
      <c r="BD157" s="32">
        <f t="shared" si="113"/>
        <v>47224</v>
      </c>
      <c r="BE157" s="32" t="str">
        <f t="shared" si="114"/>
        <v/>
      </c>
      <c r="BF157" s="32">
        <f t="shared" si="115"/>
        <v>47300</v>
      </c>
      <c r="BG157" s="32" t="str">
        <f t="shared" si="116"/>
        <v/>
      </c>
      <c r="BH157" s="32">
        <f t="shared" si="117"/>
        <v>47392</v>
      </c>
      <c r="BI157" s="32" t="str">
        <f t="shared" si="118"/>
        <v/>
      </c>
      <c r="BJ157" s="32">
        <f t="shared" si="119"/>
        <v>47407</v>
      </c>
      <c r="BK157" s="32" t="str">
        <f t="shared" si="120"/>
        <v/>
      </c>
      <c r="BL157" s="32" t="str">
        <f t="shared" si="121"/>
        <v/>
      </c>
      <c r="BM157" s="32" t="str">
        <f t="shared" si="122"/>
        <v/>
      </c>
      <c r="BN157" s="32" t="str">
        <f t="shared" si="123"/>
        <v/>
      </c>
      <c r="BO157" s="32" t="str">
        <f t="shared" si="124"/>
        <v/>
      </c>
      <c r="BP157" s="32" t="str">
        <f t="shared" si="125"/>
        <v/>
      </c>
      <c r="BQ157" s="32" t="str">
        <f t="shared" si="126"/>
        <v/>
      </c>
      <c r="BR157" s="32" t="str">
        <f t="shared" si="127"/>
        <v/>
      </c>
      <c r="BS157" s="32" t="str">
        <f t="shared" si="128"/>
        <v/>
      </c>
      <c r="BT157" s="32" t="str">
        <f t="shared" si="129"/>
        <v/>
      </c>
      <c r="BU157" s="32" t="str">
        <f t="shared" si="130"/>
        <v/>
      </c>
      <c r="BV157" s="32" t="str">
        <f t="shared" si="131"/>
        <v/>
      </c>
      <c r="BW157" s="32" t="str">
        <f t="shared" si="132"/>
        <v/>
      </c>
      <c r="BX157" s="32" t="str">
        <f t="shared" si="133"/>
        <v/>
      </c>
      <c r="BY157" s="32" t="str">
        <f t="shared" si="134"/>
        <v/>
      </c>
      <c r="BZ157" s="32" t="str">
        <f t="shared" si="135"/>
        <v/>
      </c>
      <c r="CA157" s="32" t="str">
        <f t="shared" si="136"/>
        <v/>
      </c>
      <c r="CB157" s="32" t="str">
        <f t="shared" si="137"/>
        <v/>
      </c>
      <c r="CC157" s="32" t="str">
        <f t="shared" si="138"/>
        <v/>
      </c>
      <c r="CD157" s="32" t="str">
        <f t="shared" si="139"/>
        <v/>
      </c>
      <c r="CE157" s="32" t="str">
        <f t="shared" si="140"/>
        <v/>
      </c>
      <c r="CF157" s="32" t="str">
        <f t="shared" si="141"/>
        <v/>
      </c>
      <c r="CG157" s="32" t="str">
        <f t="shared" si="142"/>
        <v/>
      </c>
      <c r="CH157" s="32" t="str">
        <f t="shared" si="143"/>
        <v/>
      </c>
      <c r="CI157" s="32" t="str">
        <f t="shared" si="144"/>
        <v/>
      </c>
      <c r="CJ157" s="32" t="str">
        <f t="shared" si="145"/>
        <v/>
      </c>
    </row>
    <row r="158" spans="1:88" x14ac:dyDescent="0.2">
      <c r="A158" s="32">
        <f t="shared" si="58"/>
        <v>46859</v>
      </c>
      <c r="B158" s="32">
        <f t="shared" si="59"/>
        <v>45581</v>
      </c>
      <c r="C158" s="32">
        <f t="shared" si="60"/>
        <v>46859</v>
      </c>
      <c r="D158" s="32">
        <f>IF(COUNT(C$151:C$197)=0,"",MIN(C$151:C$197))</f>
        <v>45658</v>
      </c>
      <c r="E158" s="32">
        <f t="shared" si="62"/>
        <v>46859</v>
      </c>
      <c r="F158" s="32">
        <f t="shared" si="63"/>
        <v>45748</v>
      </c>
      <c r="G158" s="32">
        <f t="shared" si="64"/>
        <v>46859</v>
      </c>
      <c r="H158" s="32">
        <f t="shared" si="65"/>
        <v>45763</v>
      </c>
      <c r="I158" s="32">
        <f t="shared" si="66"/>
        <v>46859</v>
      </c>
      <c r="J158" s="32">
        <f t="shared" si="67"/>
        <v>45839</v>
      </c>
      <c r="K158" s="32">
        <f t="shared" si="68"/>
        <v>46859</v>
      </c>
      <c r="L158" s="32">
        <f t="shared" si="69"/>
        <v>45931</v>
      </c>
      <c r="M158" s="32">
        <f t="shared" si="70"/>
        <v>46859</v>
      </c>
      <c r="N158" s="32">
        <f t="shared" si="71"/>
        <v>45946</v>
      </c>
      <c r="O158" s="32">
        <f t="shared" si="72"/>
        <v>46859</v>
      </c>
      <c r="P158" s="32">
        <f t="shared" si="73"/>
        <v>46023</v>
      </c>
      <c r="Q158" s="32">
        <f t="shared" si="74"/>
        <v>46859</v>
      </c>
      <c r="R158" s="32">
        <f t="shared" si="75"/>
        <v>46113</v>
      </c>
      <c r="S158" s="32">
        <f t="shared" si="76"/>
        <v>46859</v>
      </c>
      <c r="T158" s="32">
        <f t="shared" si="77"/>
        <v>46128</v>
      </c>
      <c r="U158" s="32">
        <f t="shared" si="78"/>
        <v>46859</v>
      </c>
      <c r="V158" s="32">
        <f t="shared" si="79"/>
        <v>46204</v>
      </c>
      <c r="W158" s="32">
        <f t="shared" si="80"/>
        <v>46859</v>
      </c>
      <c r="X158" s="32">
        <f t="shared" si="81"/>
        <v>46296</v>
      </c>
      <c r="Y158" s="32">
        <f t="shared" si="82"/>
        <v>46859</v>
      </c>
      <c r="Z158" s="32">
        <f t="shared" si="83"/>
        <v>46311</v>
      </c>
      <c r="AA158" s="32">
        <f t="shared" si="84"/>
        <v>46859</v>
      </c>
      <c r="AB158" s="32">
        <f t="shared" si="85"/>
        <v>46388</v>
      </c>
      <c r="AC158" s="32">
        <f t="shared" si="86"/>
        <v>46859</v>
      </c>
      <c r="AD158" s="32">
        <f t="shared" si="87"/>
        <v>46478</v>
      </c>
      <c r="AE158" s="32">
        <f t="shared" si="88"/>
        <v>46859</v>
      </c>
      <c r="AF158" s="32">
        <f t="shared" si="89"/>
        <v>46493</v>
      </c>
      <c r="AG158" s="32">
        <f t="shared" si="90"/>
        <v>46859</v>
      </c>
      <c r="AH158" s="32">
        <f t="shared" si="91"/>
        <v>46569</v>
      </c>
      <c r="AI158" s="32">
        <f t="shared" si="92"/>
        <v>46859</v>
      </c>
      <c r="AJ158" s="32">
        <f t="shared" si="93"/>
        <v>46661</v>
      </c>
      <c r="AK158" s="32">
        <f t="shared" si="94"/>
        <v>46859</v>
      </c>
      <c r="AL158" s="32">
        <f t="shared" si="95"/>
        <v>46676</v>
      </c>
      <c r="AM158" s="32">
        <f t="shared" si="96"/>
        <v>46859</v>
      </c>
      <c r="AN158" s="32">
        <f t="shared" si="97"/>
        <v>46753</v>
      </c>
      <c r="AO158" s="32">
        <f t="shared" si="98"/>
        <v>46859</v>
      </c>
      <c r="AP158" s="32">
        <f t="shared" si="99"/>
        <v>46844</v>
      </c>
      <c r="AQ158" s="32">
        <f t="shared" si="100"/>
        <v>46859</v>
      </c>
      <c r="AR158" s="32">
        <f t="shared" si="101"/>
        <v>46859</v>
      </c>
      <c r="AS158" s="32" t="str">
        <f t="shared" si="102"/>
        <v/>
      </c>
      <c r="AT158" s="32">
        <f t="shared" si="103"/>
        <v>46935</v>
      </c>
      <c r="AU158" s="32" t="str">
        <f t="shared" si="104"/>
        <v/>
      </c>
      <c r="AV158" s="32">
        <f t="shared" si="105"/>
        <v>47027</v>
      </c>
      <c r="AW158" s="32" t="str">
        <f t="shared" si="106"/>
        <v/>
      </c>
      <c r="AX158" s="32">
        <f t="shared" si="107"/>
        <v>47042</v>
      </c>
      <c r="AY158" s="32" t="str">
        <f t="shared" si="108"/>
        <v/>
      </c>
      <c r="AZ158" s="32">
        <f t="shared" si="109"/>
        <v>47119</v>
      </c>
      <c r="BA158" s="32" t="str">
        <f t="shared" si="110"/>
        <v/>
      </c>
      <c r="BB158" s="32">
        <f t="shared" si="111"/>
        <v>47209</v>
      </c>
      <c r="BC158" s="32" t="str">
        <f t="shared" si="112"/>
        <v/>
      </c>
      <c r="BD158" s="32">
        <f t="shared" si="113"/>
        <v>47224</v>
      </c>
      <c r="BE158" s="32" t="str">
        <f t="shared" si="114"/>
        <v/>
      </c>
      <c r="BF158" s="32">
        <f t="shared" si="115"/>
        <v>47300</v>
      </c>
      <c r="BG158" s="32" t="str">
        <f t="shared" si="116"/>
        <v/>
      </c>
      <c r="BH158" s="32">
        <f t="shared" si="117"/>
        <v>47392</v>
      </c>
      <c r="BI158" s="32" t="str">
        <f t="shared" si="118"/>
        <v/>
      </c>
      <c r="BJ158" s="32">
        <f t="shared" si="119"/>
        <v>47407</v>
      </c>
      <c r="BK158" s="32" t="str">
        <f t="shared" si="120"/>
        <v/>
      </c>
      <c r="BL158" s="32" t="str">
        <f t="shared" si="121"/>
        <v/>
      </c>
      <c r="BM158" s="32" t="str">
        <f t="shared" si="122"/>
        <v/>
      </c>
      <c r="BN158" s="32" t="str">
        <f t="shared" si="123"/>
        <v/>
      </c>
      <c r="BO158" s="32" t="str">
        <f t="shared" si="124"/>
        <v/>
      </c>
      <c r="BP158" s="32" t="str">
        <f t="shared" si="125"/>
        <v/>
      </c>
      <c r="BQ158" s="32" t="str">
        <f t="shared" si="126"/>
        <v/>
      </c>
      <c r="BR158" s="32" t="str">
        <f t="shared" si="127"/>
        <v/>
      </c>
      <c r="BS158" s="32" t="str">
        <f t="shared" si="128"/>
        <v/>
      </c>
      <c r="BT158" s="32" t="str">
        <f t="shared" si="129"/>
        <v/>
      </c>
      <c r="BU158" s="32" t="str">
        <f t="shared" si="130"/>
        <v/>
      </c>
      <c r="BV158" s="32" t="str">
        <f t="shared" si="131"/>
        <v/>
      </c>
      <c r="BW158" s="32" t="str">
        <f t="shared" si="132"/>
        <v/>
      </c>
      <c r="BX158" s="32" t="str">
        <f t="shared" si="133"/>
        <v/>
      </c>
      <c r="BY158" s="32" t="str">
        <f t="shared" si="134"/>
        <v/>
      </c>
      <c r="BZ158" s="32" t="str">
        <f t="shared" si="135"/>
        <v/>
      </c>
      <c r="CA158" s="32" t="str">
        <f t="shared" si="136"/>
        <v/>
      </c>
      <c r="CB158" s="32" t="str">
        <f t="shared" si="137"/>
        <v/>
      </c>
      <c r="CC158" s="32" t="str">
        <f t="shared" si="138"/>
        <v/>
      </c>
      <c r="CD158" s="32" t="str">
        <f t="shared" si="139"/>
        <v/>
      </c>
      <c r="CE158" s="32" t="str">
        <f t="shared" si="140"/>
        <v/>
      </c>
      <c r="CF158" s="32" t="str">
        <f t="shared" si="141"/>
        <v/>
      </c>
      <c r="CG158" s="32" t="str">
        <f t="shared" si="142"/>
        <v/>
      </c>
      <c r="CH158" s="32" t="str">
        <f t="shared" si="143"/>
        <v/>
      </c>
      <c r="CI158" s="32" t="str">
        <f t="shared" si="144"/>
        <v/>
      </c>
      <c r="CJ158" s="32" t="str">
        <f t="shared" si="145"/>
        <v/>
      </c>
    </row>
    <row r="159" spans="1:88" x14ac:dyDescent="0.2">
      <c r="A159" s="32">
        <f t="shared" si="58"/>
        <v>47042</v>
      </c>
      <c r="B159" s="32">
        <f t="shared" si="59"/>
        <v>45581</v>
      </c>
      <c r="C159" s="32">
        <f t="shared" si="60"/>
        <v>47042</v>
      </c>
      <c r="D159" s="32">
        <f t="shared" si="61"/>
        <v>45658</v>
      </c>
      <c r="E159" s="32">
        <f t="shared" si="62"/>
        <v>47042</v>
      </c>
      <c r="F159" s="32">
        <f t="shared" si="63"/>
        <v>45748</v>
      </c>
      <c r="G159" s="32">
        <f t="shared" si="64"/>
        <v>47042</v>
      </c>
      <c r="H159" s="32">
        <f t="shared" si="65"/>
        <v>45763</v>
      </c>
      <c r="I159" s="32">
        <f t="shared" si="66"/>
        <v>47042</v>
      </c>
      <c r="J159" s="32">
        <f t="shared" si="67"/>
        <v>45839</v>
      </c>
      <c r="K159" s="32">
        <f t="shared" si="68"/>
        <v>47042</v>
      </c>
      <c r="L159" s="32">
        <f t="shared" si="69"/>
        <v>45931</v>
      </c>
      <c r="M159" s="32">
        <f t="shared" si="70"/>
        <v>47042</v>
      </c>
      <c r="N159" s="32">
        <f t="shared" si="71"/>
        <v>45946</v>
      </c>
      <c r="O159" s="32">
        <f t="shared" si="72"/>
        <v>47042</v>
      </c>
      <c r="P159" s="32">
        <f t="shared" si="73"/>
        <v>46023</v>
      </c>
      <c r="Q159" s="32">
        <f t="shared" si="74"/>
        <v>47042</v>
      </c>
      <c r="R159" s="32">
        <f t="shared" si="75"/>
        <v>46113</v>
      </c>
      <c r="S159" s="32">
        <f t="shared" si="76"/>
        <v>47042</v>
      </c>
      <c r="T159" s="32">
        <f t="shared" si="77"/>
        <v>46128</v>
      </c>
      <c r="U159" s="32">
        <f t="shared" si="78"/>
        <v>47042</v>
      </c>
      <c r="V159" s="32">
        <f t="shared" si="79"/>
        <v>46204</v>
      </c>
      <c r="W159" s="32">
        <f t="shared" si="80"/>
        <v>47042</v>
      </c>
      <c r="X159" s="32">
        <f t="shared" si="81"/>
        <v>46296</v>
      </c>
      <c r="Y159" s="32">
        <f t="shared" si="82"/>
        <v>47042</v>
      </c>
      <c r="Z159" s="32">
        <f t="shared" si="83"/>
        <v>46311</v>
      </c>
      <c r="AA159" s="32">
        <f t="shared" si="84"/>
        <v>47042</v>
      </c>
      <c r="AB159" s="32">
        <f t="shared" si="85"/>
        <v>46388</v>
      </c>
      <c r="AC159" s="32">
        <f t="shared" si="86"/>
        <v>47042</v>
      </c>
      <c r="AD159" s="32">
        <f t="shared" si="87"/>
        <v>46478</v>
      </c>
      <c r="AE159" s="32">
        <f t="shared" si="88"/>
        <v>47042</v>
      </c>
      <c r="AF159" s="32">
        <f t="shared" si="89"/>
        <v>46493</v>
      </c>
      <c r="AG159" s="32">
        <f t="shared" si="90"/>
        <v>47042</v>
      </c>
      <c r="AH159" s="32">
        <f t="shared" si="91"/>
        <v>46569</v>
      </c>
      <c r="AI159" s="32">
        <f t="shared" si="92"/>
        <v>47042</v>
      </c>
      <c r="AJ159" s="32">
        <f t="shared" si="93"/>
        <v>46661</v>
      </c>
      <c r="AK159" s="32">
        <f t="shared" si="94"/>
        <v>47042</v>
      </c>
      <c r="AL159" s="32">
        <f t="shared" si="95"/>
        <v>46676</v>
      </c>
      <c r="AM159" s="32">
        <f t="shared" si="96"/>
        <v>47042</v>
      </c>
      <c r="AN159" s="32">
        <f t="shared" si="97"/>
        <v>46753</v>
      </c>
      <c r="AO159" s="32">
        <f t="shared" si="98"/>
        <v>47042</v>
      </c>
      <c r="AP159" s="32">
        <f t="shared" si="99"/>
        <v>46844</v>
      </c>
      <c r="AQ159" s="32">
        <f t="shared" si="100"/>
        <v>47042</v>
      </c>
      <c r="AR159" s="32">
        <f t="shared" si="101"/>
        <v>46859</v>
      </c>
      <c r="AS159" s="32">
        <f t="shared" si="102"/>
        <v>47042</v>
      </c>
      <c r="AT159" s="32">
        <f t="shared" si="103"/>
        <v>46935</v>
      </c>
      <c r="AU159" s="32">
        <f t="shared" si="104"/>
        <v>47042</v>
      </c>
      <c r="AV159" s="32">
        <f t="shared" si="105"/>
        <v>47027</v>
      </c>
      <c r="AW159" s="32">
        <f t="shared" si="106"/>
        <v>47042</v>
      </c>
      <c r="AX159" s="32">
        <f t="shared" si="107"/>
        <v>47042</v>
      </c>
      <c r="AY159" s="32" t="str">
        <f t="shared" si="108"/>
        <v/>
      </c>
      <c r="AZ159" s="32">
        <f t="shared" si="109"/>
        <v>47119</v>
      </c>
      <c r="BA159" s="32" t="str">
        <f t="shared" si="110"/>
        <v/>
      </c>
      <c r="BB159" s="32">
        <f t="shared" si="111"/>
        <v>47209</v>
      </c>
      <c r="BC159" s="32" t="str">
        <f t="shared" si="112"/>
        <v/>
      </c>
      <c r="BD159" s="32">
        <f t="shared" si="113"/>
        <v>47224</v>
      </c>
      <c r="BE159" s="32" t="str">
        <f t="shared" si="114"/>
        <v/>
      </c>
      <c r="BF159" s="32">
        <f t="shared" si="115"/>
        <v>47300</v>
      </c>
      <c r="BG159" s="32" t="str">
        <f t="shared" si="116"/>
        <v/>
      </c>
      <c r="BH159" s="32">
        <f t="shared" si="117"/>
        <v>47392</v>
      </c>
      <c r="BI159" s="32" t="str">
        <f t="shared" si="118"/>
        <v/>
      </c>
      <c r="BJ159" s="32">
        <f t="shared" si="119"/>
        <v>47407</v>
      </c>
      <c r="BK159" s="32" t="str">
        <f t="shared" si="120"/>
        <v/>
      </c>
      <c r="BL159" s="32" t="str">
        <f t="shared" si="121"/>
        <v/>
      </c>
      <c r="BM159" s="32" t="str">
        <f t="shared" si="122"/>
        <v/>
      </c>
      <c r="BN159" s="32" t="str">
        <f t="shared" si="123"/>
        <v/>
      </c>
      <c r="BO159" s="32" t="str">
        <f t="shared" si="124"/>
        <v/>
      </c>
      <c r="BP159" s="32" t="str">
        <f t="shared" si="125"/>
        <v/>
      </c>
      <c r="BQ159" s="32" t="str">
        <f t="shared" si="126"/>
        <v/>
      </c>
      <c r="BR159" s="32" t="str">
        <f t="shared" si="127"/>
        <v/>
      </c>
      <c r="BS159" s="32" t="str">
        <f t="shared" si="128"/>
        <v/>
      </c>
      <c r="BT159" s="32" t="str">
        <f t="shared" si="129"/>
        <v/>
      </c>
      <c r="BU159" s="32" t="str">
        <f t="shared" si="130"/>
        <v/>
      </c>
      <c r="BV159" s="32" t="str">
        <f t="shared" si="131"/>
        <v/>
      </c>
      <c r="BW159" s="32" t="str">
        <f t="shared" si="132"/>
        <v/>
      </c>
      <c r="BX159" s="32" t="str">
        <f t="shared" si="133"/>
        <v/>
      </c>
      <c r="BY159" s="32" t="str">
        <f t="shared" si="134"/>
        <v/>
      </c>
      <c r="BZ159" s="32" t="str">
        <f t="shared" si="135"/>
        <v/>
      </c>
      <c r="CA159" s="32" t="str">
        <f t="shared" si="136"/>
        <v/>
      </c>
      <c r="CB159" s="32" t="str">
        <f t="shared" si="137"/>
        <v/>
      </c>
      <c r="CC159" s="32" t="str">
        <f t="shared" si="138"/>
        <v/>
      </c>
      <c r="CD159" s="32" t="str">
        <f t="shared" si="139"/>
        <v/>
      </c>
      <c r="CE159" s="32" t="str">
        <f t="shared" si="140"/>
        <v/>
      </c>
      <c r="CF159" s="32" t="str">
        <f t="shared" si="141"/>
        <v/>
      </c>
      <c r="CG159" s="32" t="str">
        <f t="shared" si="142"/>
        <v/>
      </c>
      <c r="CH159" s="32" t="str">
        <f t="shared" si="143"/>
        <v/>
      </c>
      <c r="CI159" s="32" t="str">
        <f t="shared" si="144"/>
        <v/>
      </c>
      <c r="CJ159" s="32" t="str">
        <f t="shared" si="145"/>
        <v/>
      </c>
    </row>
    <row r="160" spans="1:88" x14ac:dyDescent="0.2">
      <c r="A160" s="32">
        <f t="shared" si="58"/>
        <v>47224</v>
      </c>
      <c r="B160" s="32">
        <f t="shared" si="59"/>
        <v>45581</v>
      </c>
      <c r="C160" s="32">
        <f t="shared" si="60"/>
        <v>47224</v>
      </c>
      <c r="D160" s="32">
        <f t="shared" si="61"/>
        <v>45658</v>
      </c>
      <c r="E160" s="32">
        <f t="shared" si="62"/>
        <v>47224</v>
      </c>
      <c r="F160" s="32">
        <f t="shared" si="63"/>
        <v>45748</v>
      </c>
      <c r="G160" s="32">
        <f t="shared" si="64"/>
        <v>47224</v>
      </c>
      <c r="H160" s="32">
        <f t="shared" si="65"/>
        <v>45763</v>
      </c>
      <c r="I160" s="32">
        <f t="shared" si="66"/>
        <v>47224</v>
      </c>
      <c r="J160" s="32">
        <f t="shared" si="67"/>
        <v>45839</v>
      </c>
      <c r="K160" s="32">
        <f t="shared" si="68"/>
        <v>47224</v>
      </c>
      <c r="L160" s="32">
        <f t="shared" si="69"/>
        <v>45931</v>
      </c>
      <c r="M160" s="32">
        <f t="shared" si="70"/>
        <v>47224</v>
      </c>
      <c r="N160" s="32">
        <f t="shared" si="71"/>
        <v>45946</v>
      </c>
      <c r="O160" s="32">
        <f t="shared" si="72"/>
        <v>47224</v>
      </c>
      <c r="P160" s="32">
        <f t="shared" si="73"/>
        <v>46023</v>
      </c>
      <c r="Q160" s="32">
        <f t="shared" si="74"/>
        <v>47224</v>
      </c>
      <c r="R160" s="32">
        <f t="shared" si="75"/>
        <v>46113</v>
      </c>
      <c r="S160" s="32">
        <f t="shared" si="76"/>
        <v>47224</v>
      </c>
      <c r="T160" s="32">
        <f t="shared" si="77"/>
        <v>46128</v>
      </c>
      <c r="U160" s="32">
        <f t="shared" si="78"/>
        <v>47224</v>
      </c>
      <c r="V160" s="32">
        <f t="shared" si="79"/>
        <v>46204</v>
      </c>
      <c r="W160" s="32">
        <f t="shared" si="80"/>
        <v>47224</v>
      </c>
      <c r="X160" s="32">
        <f t="shared" si="81"/>
        <v>46296</v>
      </c>
      <c r="Y160" s="32">
        <f t="shared" si="82"/>
        <v>47224</v>
      </c>
      <c r="Z160" s="32">
        <f t="shared" si="83"/>
        <v>46311</v>
      </c>
      <c r="AA160" s="32">
        <f t="shared" si="84"/>
        <v>47224</v>
      </c>
      <c r="AB160" s="32">
        <f t="shared" si="85"/>
        <v>46388</v>
      </c>
      <c r="AC160" s="32">
        <f t="shared" si="86"/>
        <v>47224</v>
      </c>
      <c r="AD160" s="32">
        <f t="shared" si="87"/>
        <v>46478</v>
      </c>
      <c r="AE160" s="32">
        <f t="shared" si="88"/>
        <v>47224</v>
      </c>
      <c r="AF160" s="32">
        <f t="shared" si="89"/>
        <v>46493</v>
      </c>
      <c r="AG160" s="32">
        <f t="shared" si="90"/>
        <v>47224</v>
      </c>
      <c r="AH160" s="32">
        <f t="shared" si="91"/>
        <v>46569</v>
      </c>
      <c r="AI160" s="32">
        <f t="shared" si="92"/>
        <v>47224</v>
      </c>
      <c r="AJ160" s="32">
        <f t="shared" si="93"/>
        <v>46661</v>
      </c>
      <c r="AK160" s="32">
        <f t="shared" si="94"/>
        <v>47224</v>
      </c>
      <c r="AL160" s="32">
        <f t="shared" si="95"/>
        <v>46676</v>
      </c>
      <c r="AM160" s="32">
        <f t="shared" si="96"/>
        <v>47224</v>
      </c>
      <c r="AN160" s="32">
        <f t="shared" si="97"/>
        <v>46753</v>
      </c>
      <c r="AO160" s="32">
        <f t="shared" si="98"/>
        <v>47224</v>
      </c>
      <c r="AP160" s="32">
        <f t="shared" si="99"/>
        <v>46844</v>
      </c>
      <c r="AQ160" s="32">
        <f t="shared" si="100"/>
        <v>47224</v>
      </c>
      <c r="AR160" s="32">
        <f t="shared" si="101"/>
        <v>46859</v>
      </c>
      <c r="AS160" s="32">
        <f t="shared" si="102"/>
        <v>47224</v>
      </c>
      <c r="AT160" s="32">
        <f t="shared" si="103"/>
        <v>46935</v>
      </c>
      <c r="AU160" s="32">
        <f t="shared" si="104"/>
        <v>47224</v>
      </c>
      <c r="AV160" s="32">
        <f t="shared" si="105"/>
        <v>47027</v>
      </c>
      <c r="AW160" s="32">
        <f t="shared" si="106"/>
        <v>47224</v>
      </c>
      <c r="AX160" s="32">
        <f t="shared" si="107"/>
        <v>47042</v>
      </c>
      <c r="AY160" s="32">
        <f t="shared" si="108"/>
        <v>47224</v>
      </c>
      <c r="AZ160" s="32">
        <f t="shared" si="109"/>
        <v>47119</v>
      </c>
      <c r="BA160" s="32">
        <f t="shared" si="110"/>
        <v>47224</v>
      </c>
      <c r="BB160" s="32">
        <f t="shared" si="111"/>
        <v>47209</v>
      </c>
      <c r="BC160" s="32">
        <f t="shared" si="112"/>
        <v>47224</v>
      </c>
      <c r="BD160" s="32">
        <f t="shared" si="113"/>
        <v>47224</v>
      </c>
      <c r="BE160" s="32" t="str">
        <f t="shared" si="114"/>
        <v/>
      </c>
      <c r="BF160" s="32">
        <f t="shared" si="115"/>
        <v>47300</v>
      </c>
      <c r="BG160" s="32" t="str">
        <f t="shared" si="116"/>
        <v/>
      </c>
      <c r="BH160" s="32">
        <f t="shared" si="117"/>
        <v>47392</v>
      </c>
      <c r="BI160" s="32" t="str">
        <f t="shared" si="118"/>
        <v/>
      </c>
      <c r="BJ160" s="32">
        <f t="shared" si="119"/>
        <v>47407</v>
      </c>
      <c r="BK160" s="32" t="str">
        <f t="shared" si="120"/>
        <v/>
      </c>
      <c r="BL160" s="32" t="str">
        <f t="shared" si="121"/>
        <v/>
      </c>
      <c r="BM160" s="32" t="str">
        <f t="shared" si="122"/>
        <v/>
      </c>
      <c r="BN160" s="32" t="str">
        <f t="shared" si="123"/>
        <v/>
      </c>
      <c r="BO160" s="32" t="str">
        <f t="shared" si="124"/>
        <v/>
      </c>
      <c r="BP160" s="32" t="str">
        <f t="shared" si="125"/>
        <v/>
      </c>
      <c r="BQ160" s="32" t="str">
        <f t="shared" si="126"/>
        <v/>
      </c>
      <c r="BR160" s="32" t="str">
        <f t="shared" si="127"/>
        <v/>
      </c>
      <c r="BS160" s="32" t="str">
        <f t="shared" si="128"/>
        <v/>
      </c>
      <c r="BT160" s="32" t="str">
        <f t="shared" si="129"/>
        <v/>
      </c>
      <c r="BU160" s="32" t="str">
        <f t="shared" si="130"/>
        <v/>
      </c>
      <c r="BV160" s="32" t="str">
        <f t="shared" si="131"/>
        <v/>
      </c>
      <c r="BW160" s="32" t="str">
        <f t="shared" si="132"/>
        <v/>
      </c>
      <c r="BX160" s="32" t="str">
        <f t="shared" si="133"/>
        <v/>
      </c>
      <c r="BY160" s="32" t="str">
        <f t="shared" si="134"/>
        <v/>
      </c>
      <c r="BZ160" s="32" t="str">
        <f t="shared" si="135"/>
        <v/>
      </c>
      <c r="CA160" s="32" t="str">
        <f t="shared" si="136"/>
        <v/>
      </c>
      <c r="CB160" s="32" t="str">
        <f t="shared" si="137"/>
        <v/>
      </c>
      <c r="CC160" s="32" t="str">
        <f t="shared" si="138"/>
        <v/>
      </c>
      <c r="CD160" s="32" t="str">
        <f t="shared" si="139"/>
        <v/>
      </c>
      <c r="CE160" s="32" t="str">
        <f t="shared" si="140"/>
        <v/>
      </c>
      <c r="CF160" s="32" t="str">
        <f t="shared" si="141"/>
        <v/>
      </c>
      <c r="CG160" s="32" t="str">
        <f t="shared" si="142"/>
        <v/>
      </c>
      <c r="CH160" s="32" t="str">
        <f t="shared" si="143"/>
        <v/>
      </c>
      <c r="CI160" s="32" t="str">
        <f t="shared" si="144"/>
        <v/>
      </c>
      <c r="CJ160" s="32" t="str">
        <f t="shared" si="145"/>
        <v/>
      </c>
    </row>
    <row r="161" spans="1:88" x14ac:dyDescent="0.2">
      <c r="A161" s="32">
        <f t="shared" si="58"/>
        <v>47407</v>
      </c>
      <c r="B161" s="32">
        <f t="shared" si="59"/>
        <v>45581</v>
      </c>
      <c r="C161" s="32">
        <f t="shared" si="60"/>
        <v>47407</v>
      </c>
      <c r="D161" s="32">
        <f t="shared" si="61"/>
        <v>45658</v>
      </c>
      <c r="E161" s="32">
        <f t="shared" si="62"/>
        <v>47407</v>
      </c>
      <c r="F161" s="32">
        <f t="shared" si="63"/>
        <v>45748</v>
      </c>
      <c r="G161" s="32">
        <f t="shared" si="64"/>
        <v>47407</v>
      </c>
      <c r="H161" s="32">
        <f t="shared" si="65"/>
        <v>45763</v>
      </c>
      <c r="I161" s="32">
        <f t="shared" si="66"/>
        <v>47407</v>
      </c>
      <c r="J161" s="32">
        <f t="shared" si="67"/>
        <v>45839</v>
      </c>
      <c r="K161" s="32">
        <f t="shared" si="68"/>
        <v>47407</v>
      </c>
      <c r="L161" s="32">
        <f t="shared" si="69"/>
        <v>45931</v>
      </c>
      <c r="M161" s="32">
        <f t="shared" si="70"/>
        <v>47407</v>
      </c>
      <c r="N161" s="32">
        <f t="shared" si="71"/>
        <v>45946</v>
      </c>
      <c r="O161" s="32">
        <f t="shared" si="72"/>
        <v>47407</v>
      </c>
      <c r="P161" s="32">
        <f t="shared" si="73"/>
        <v>46023</v>
      </c>
      <c r="Q161" s="32">
        <f t="shared" si="74"/>
        <v>47407</v>
      </c>
      <c r="R161" s="32">
        <f t="shared" si="75"/>
        <v>46113</v>
      </c>
      <c r="S161" s="32">
        <f t="shared" si="76"/>
        <v>47407</v>
      </c>
      <c r="T161" s="32">
        <f t="shared" si="77"/>
        <v>46128</v>
      </c>
      <c r="U161" s="32">
        <f t="shared" si="78"/>
        <v>47407</v>
      </c>
      <c r="V161" s="32">
        <f t="shared" si="79"/>
        <v>46204</v>
      </c>
      <c r="W161" s="32">
        <f t="shared" si="80"/>
        <v>47407</v>
      </c>
      <c r="X161" s="32">
        <f t="shared" si="81"/>
        <v>46296</v>
      </c>
      <c r="Y161" s="32">
        <f t="shared" si="82"/>
        <v>47407</v>
      </c>
      <c r="Z161" s="32">
        <f t="shared" si="83"/>
        <v>46311</v>
      </c>
      <c r="AA161" s="32">
        <f t="shared" si="84"/>
        <v>47407</v>
      </c>
      <c r="AB161" s="32">
        <f t="shared" si="85"/>
        <v>46388</v>
      </c>
      <c r="AC161" s="32">
        <f t="shared" si="86"/>
        <v>47407</v>
      </c>
      <c r="AD161" s="32">
        <f t="shared" si="87"/>
        <v>46478</v>
      </c>
      <c r="AE161" s="32">
        <f t="shared" si="88"/>
        <v>47407</v>
      </c>
      <c r="AF161" s="32">
        <f t="shared" si="89"/>
        <v>46493</v>
      </c>
      <c r="AG161" s="32">
        <f t="shared" si="90"/>
        <v>47407</v>
      </c>
      <c r="AH161" s="32">
        <f t="shared" si="91"/>
        <v>46569</v>
      </c>
      <c r="AI161" s="32">
        <f t="shared" si="92"/>
        <v>47407</v>
      </c>
      <c r="AJ161" s="32">
        <f t="shared" si="93"/>
        <v>46661</v>
      </c>
      <c r="AK161" s="32">
        <f t="shared" si="94"/>
        <v>47407</v>
      </c>
      <c r="AL161" s="32">
        <f t="shared" si="95"/>
        <v>46676</v>
      </c>
      <c r="AM161" s="32">
        <f t="shared" si="96"/>
        <v>47407</v>
      </c>
      <c r="AN161" s="32">
        <f t="shared" si="97"/>
        <v>46753</v>
      </c>
      <c r="AO161" s="32">
        <f t="shared" si="98"/>
        <v>47407</v>
      </c>
      <c r="AP161" s="32">
        <f t="shared" si="99"/>
        <v>46844</v>
      </c>
      <c r="AQ161" s="32">
        <f t="shared" si="100"/>
        <v>47407</v>
      </c>
      <c r="AR161" s="32">
        <f t="shared" si="101"/>
        <v>46859</v>
      </c>
      <c r="AS161" s="32">
        <f t="shared" si="102"/>
        <v>47407</v>
      </c>
      <c r="AT161" s="32">
        <f t="shared" si="103"/>
        <v>46935</v>
      </c>
      <c r="AU161" s="32">
        <f t="shared" si="104"/>
        <v>47407</v>
      </c>
      <c r="AV161" s="32">
        <f t="shared" si="105"/>
        <v>47027</v>
      </c>
      <c r="AW161" s="32">
        <f t="shared" si="106"/>
        <v>47407</v>
      </c>
      <c r="AX161" s="32">
        <f t="shared" si="107"/>
        <v>47042</v>
      </c>
      <c r="AY161" s="32">
        <f t="shared" si="108"/>
        <v>47407</v>
      </c>
      <c r="AZ161" s="32">
        <f t="shared" si="109"/>
        <v>47119</v>
      </c>
      <c r="BA161" s="32">
        <f t="shared" si="110"/>
        <v>47407</v>
      </c>
      <c r="BB161" s="32">
        <f t="shared" si="111"/>
        <v>47209</v>
      </c>
      <c r="BC161" s="32">
        <f t="shared" si="112"/>
        <v>47407</v>
      </c>
      <c r="BD161" s="32">
        <f t="shared" si="113"/>
        <v>47224</v>
      </c>
      <c r="BE161" s="32">
        <f t="shared" si="114"/>
        <v>47407</v>
      </c>
      <c r="BF161" s="32">
        <f t="shared" si="115"/>
        <v>47300</v>
      </c>
      <c r="BG161" s="32">
        <f t="shared" si="116"/>
        <v>47407</v>
      </c>
      <c r="BH161" s="32">
        <f t="shared" si="117"/>
        <v>47392</v>
      </c>
      <c r="BI161" s="32">
        <f t="shared" si="118"/>
        <v>47407</v>
      </c>
      <c r="BJ161" s="32">
        <f t="shared" si="119"/>
        <v>47407</v>
      </c>
      <c r="BK161" s="32" t="str">
        <f t="shared" si="120"/>
        <v/>
      </c>
      <c r="BL161" s="32" t="str">
        <f t="shared" si="121"/>
        <v/>
      </c>
      <c r="BM161" s="32" t="str">
        <f t="shared" si="122"/>
        <v/>
      </c>
      <c r="BN161" s="32" t="str">
        <f t="shared" si="123"/>
        <v/>
      </c>
      <c r="BO161" s="32" t="str">
        <f t="shared" si="124"/>
        <v/>
      </c>
      <c r="BP161" s="32" t="str">
        <f t="shared" si="125"/>
        <v/>
      </c>
      <c r="BQ161" s="32" t="str">
        <f t="shared" si="126"/>
        <v/>
      </c>
      <c r="BR161" s="32" t="str">
        <f t="shared" si="127"/>
        <v/>
      </c>
      <c r="BS161" s="32" t="str">
        <f t="shared" si="128"/>
        <v/>
      </c>
      <c r="BT161" s="32" t="str">
        <f t="shared" si="129"/>
        <v/>
      </c>
      <c r="BU161" s="32" t="str">
        <f t="shared" si="130"/>
        <v/>
      </c>
      <c r="BV161" s="32" t="str">
        <f t="shared" si="131"/>
        <v/>
      </c>
      <c r="BW161" s="32" t="str">
        <f t="shared" si="132"/>
        <v/>
      </c>
      <c r="BX161" s="32" t="str">
        <f t="shared" si="133"/>
        <v/>
      </c>
      <c r="BY161" s="32" t="str">
        <f t="shared" si="134"/>
        <v/>
      </c>
      <c r="BZ161" s="32" t="str">
        <f t="shared" si="135"/>
        <v/>
      </c>
      <c r="CA161" s="32" t="str">
        <f t="shared" si="136"/>
        <v/>
      </c>
      <c r="CB161" s="32" t="str">
        <f t="shared" si="137"/>
        <v/>
      </c>
      <c r="CC161" s="32" t="str">
        <f t="shared" si="138"/>
        <v/>
      </c>
      <c r="CD161" s="32" t="str">
        <f t="shared" si="139"/>
        <v/>
      </c>
      <c r="CE161" s="32" t="str">
        <f t="shared" si="140"/>
        <v/>
      </c>
      <c r="CF161" s="32" t="str">
        <f t="shared" si="141"/>
        <v/>
      </c>
      <c r="CG161" s="32" t="str">
        <f t="shared" si="142"/>
        <v/>
      </c>
      <c r="CH161" s="32" t="str">
        <f t="shared" si="143"/>
        <v/>
      </c>
      <c r="CI161" s="32" t="str">
        <f t="shared" si="144"/>
        <v/>
      </c>
      <c r="CJ161" s="32" t="str">
        <f t="shared" si="145"/>
        <v/>
      </c>
    </row>
    <row r="162" spans="1:88" x14ac:dyDescent="0.2">
      <c r="A162" s="32" t="str">
        <f t="shared" si="58"/>
        <v/>
      </c>
      <c r="B162" s="32">
        <f t="shared" si="59"/>
        <v>45581</v>
      </c>
      <c r="C162" s="32" t="str">
        <f t="shared" si="60"/>
        <v/>
      </c>
      <c r="D162" s="32">
        <f t="shared" si="61"/>
        <v>45658</v>
      </c>
      <c r="E162" s="32" t="str">
        <f t="shared" si="62"/>
        <v/>
      </c>
      <c r="F162" s="32">
        <f t="shared" si="63"/>
        <v>45748</v>
      </c>
      <c r="G162" s="32" t="str">
        <f t="shared" si="64"/>
        <v/>
      </c>
      <c r="H162" s="32">
        <f t="shared" si="65"/>
        <v>45763</v>
      </c>
      <c r="I162" s="32" t="str">
        <f t="shared" si="66"/>
        <v/>
      </c>
      <c r="J162" s="32">
        <f t="shared" si="67"/>
        <v>45839</v>
      </c>
      <c r="K162" s="32" t="str">
        <f t="shared" si="68"/>
        <v/>
      </c>
      <c r="L162" s="32">
        <f t="shared" si="69"/>
        <v>45931</v>
      </c>
      <c r="M162" s="32" t="str">
        <f t="shared" si="70"/>
        <v/>
      </c>
      <c r="N162" s="32">
        <f t="shared" si="71"/>
        <v>45946</v>
      </c>
      <c r="O162" s="32" t="str">
        <f t="shared" si="72"/>
        <v/>
      </c>
      <c r="P162" s="32">
        <f t="shared" si="73"/>
        <v>46023</v>
      </c>
      <c r="Q162" s="32" t="str">
        <f t="shared" si="74"/>
        <v/>
      </c>
      <c r="R162" s="32">
        <f t="shared" si="75"/>
        <v>46113</v>
      </c>
      <c r="S162" s="32" t="str">
        <f t="shared" si="76"/>
        <v/>
      </c>
      <c r="T162" s="32">
        <f t="shared" si="77"/>
        <v>46128</v>
      </c>
      <c r="U162" s="32" t="str">
        <f t="shared" si="78"/>
        <v/>
      </c>
      <c r="V162" s="32">
        <f t="shared" si="79"/>
        <v>46204</v>
      </c>
      <c r="W162" s="32" t="str">
        <f t="shared" si="80"/>
        <v/>
      </c>
      <c r="X162" s="32">
        <f t="shared" si="81"/>
        <v>46296</v>
      </c>
      <c r="Y162" s="32" t="str">
        <f t="shared" si="82"/>
        <v/>
      </c>
      <c r="Z162" s="32">
        <f t="shared" si="83"/>
        <v>46311</v>
      </c>
      <c r="AA162" s="32" t="str">
        <f t="shared" si="84"/>
        <v/>
      </c>
      <c r="AB162" s="32">
        <f t="shared" si="85"/>
        <v>46388</v>
      </c>
      <c r="AC162" s="32" t="str">
        <f t="shared" si="86"/>
        <v/>
      </c>
      <c r="AD162" s="32">
        <f t="shared" si="87"/>
        <v>46478</v>
      </c>
      <c r="AE162" s="32" t="str">
        <f t="shared" si="88"/>
        <v/>
      </c>
      <c r="AF162" s="32">
        <f t="shared" si="89"/>
        <v>46493</v>
      </c>
      <c r="AG162" s="32" t="str">
        <f t="shared" si="90"/>
        <v/>
      </c>
      <c r="AH162" s="32">
        <f t="shared" si="91"/>
        <v>46569</v>
      </c>
      <c r="AI162" s="32" t="str">
        <f t="shared" si="92"/>
        <v/>
      </c>
      <c r="AJ162" s="32">
        <f t="shared" si="93"/>
        <v>46661</v>
      </c>
      <c r="AK162" s="32" t="str">
        <f t="shared" si="94"/>
        <v/>
      </c>
      <c r="AL162" s="32">
        <f t="shared" si="95"/>
        <v>46676</v>
      </c>
      <c r="AM162" s="32" t="str">
        <f t="shared" si="96"/>
        <v/>
      </c>
      <c r="AN162" s="32">
        <f t="shared" si="97"/>
        <v>46753</v>
      </c>
      <c r="AO162" s="32" t="str">
        <f t="shared" si="98"/>
        <v/>
      </c>
      <c r="AP162" s="32">
        <f t="shared" si="99"/>
        <v>46844</v>
      </c>
      <c r="AQ162" s="32" t="str">
        <f t="shared" si="100"/>
        <v/>
      </c>
      <c r="AR162" s="32">
        <f t="shared" si="101"/>
        <v>46859</v>
      </c>
      <c r="AS162" s="32" t="str">
        <f t="shared" si="102"/>
        <v/>
      </c>
      <c r="AT162" s="32">
        <f t="shared" si="103"/>
        <v>46935</v>
      </c>
      <c r="AU162" s="32" t="str">
        <f t="shared" si="104"/>
        <v/>
      </c>
      <c r="AV162" s="32">
        <f t="shared" si="105"/>
        <v>47027</v>
      </c>
      <c r="AW162" s="32" t="str">
        <f t="shared" si="106"/>
        <v/>
      </c>
      <c r="AX162" s="32">
        <f t="shared" si="107"/>
        <v>47042</v>
      </c>
      <c r="AY162" s="32" t="str">
        <f t="shared" si="108"/>
        <v/>
      </c>
      <c r="AZ162" s="32">
        <f t="shared" si="109"/>
        <v>47119</v>
      </c>
      <c r="BA162" s="32" t="str">
        <f t="shared" si="110"/>
        <v/>
      </c>
      <c r="BB162" s="32">
        <f t="shared" si="111"/>
        <v>47209</v>
      </c>
      <c r="BC162" s="32" t="str">
        <f t="shared" si="112"/>
        <v/>
      </c>
      <c r="BD162" s="32">
        <f t="shared" si="113"/>
        <v>47224</v>
      </c>
      <c r="BE162" s="32" t="str">
        <f t="shared" si="114"/>
        <v/>
      </c>
      <c r="BF162" s="32">
        <f t="shared" si="115"/>
        <v>47300</v>
      </c>
      <c r="BG162" s="32" t="str">
        <f t="shared" si="116"/>
        <v/>
      </c>
      <c r="BH162" s="32">
        <f t="shared" si="117"/>
        <v>47392</v>
      </c>
      <c r="BI162" s="32" t="str">
        <f t="shared" si="118"/>
        <v/>
      </c>
      <c r="BJ162" s="32">
        <f t="shared" si="119"/>
        <v>47407</v>
      </c>
      <c r="BK162" s="32" t="str">
        <f t="shared" si="120"/>
        <v/>
      </c>
      <c r="BL162" s="32" t="str">
        <f t="shared" si="121"/>
        <v/>
      </c>
      <c r="BM162" s="32" t="str">
        <f t="shared" si="122"/>
        <v/>
      </c>
      <c r="BN162" s="32" t="str">
        <f t="shared" si="123"/>
        <v/>
      </c>
      <c r="BO162" s="32" t="str">
        <f t="shared" si="124"/>
        <v/>
      </c>
      <c r="BP162" s="32" t="str">
        <f t="shared" si="125"/>
        <v/>
      </c>
      <c r="BQ162" s="32" t="str">
        <f t="shared" si="126"/>
        <v/>
      </c>
      <c r="BR162" s="32" t="str">
        <f t="shared" si="127"/>
        <v/>
      </c>
      <c r="BS162" s="32" t="str">
        <f t="shared" si="128"/>
        <v/>
      </c>
      <c r="BT162" s="32" t="str">
        <f t="shared" si="129"/>
        <v/>
      </c>
      <c r="BU162" s="32" t="str">
        <f t="shared" si="130"/>
        <v/>
      </c>
      <c r="BV162" s="32" t="str">
        <f t="shared" si="131"/>
        <v/>
      </c>
      <c r="BW162" s="32" t="str">
        <f t="shared" si="132"/>
        <v/>
      </c>
      <c r="BX162" s="32" t="str">
        <f t="shared" si="133"/>
        <v/>
      </c>
      <c r="BY162" s="32" t="str">
        <f t="shared" si="134"/>
        <v/>
      </c>
      <c r="BZ162" s="32" t="str">
        <f t="shared" si="135"/>
        <v/>
      </c>
      <c r="CA162" s="32" t="str">
        <f t="shared" si="136"/>
        <v/>
      </c>
      <c r="CB162" s="32" t="str">
        <f t="shared" si="137"/>
        <v/>
      </c>
      <c r="CC162" s="32" t="str">
        <f t="shared" si="138"/>
        <v/>
      </c>
      <c r="CD162" s="32" t="str">
        <f t="shared" si="139"/>
        <v/>
      </c>
      <c r="CE162" s="32" t="str">
        <f t="shared" si="140"/>
        <v/>
      </c>
      <c r="CF162" s="32" t="str">
        <f t="shared" si="141"/>
        <v/>
      </c>
      <c r="CG162" s="32" t="str">
        <f t="shared" si="142"/>
        <v/>
      </c>
      <c r="CH162" s="32" t="str">
        <f t="shared" si="143"/>
        <v/>
      </c>
      <c r="CI162" s="32" t="str">
        <f t="shared" si="144"/>
        <v/>
      </c>
      <c r="CJ162" s="32" t="str">
        <f t="shared" si="145"/>
        <v/>
      </c>
    </row>
    <row r="163" spans="1:88" x14ac:dyDescent="0.2">
      <c r="A163" s="32" t="str">
        <f t="shared" si="58"/>
        <v/>
      </c>
      <c r="B163" s="32">
        <f t="shared" si="59"/>
        <v>45581</v>
      </c>
      <c r="C163" s="32" t="str">
        <f t="shared" si="60"/>
        <v/>
      </c>
      <c r="D163" s="32">
        <f t="shared" si="61"/>
        <v>45658</v>
      </c>
      <c r="E163" s="32" t="str">
        <f t="shared" si="62"/>
        <v/>
      </c>
      <c r="F163" s="32">
        <f t="shared" si="63"/>
        <v>45748</v>
      </c>
      <c r="G163" s="32" t="str">
        <f t="shared" si="64"/>
        <v/>
      </c>
      <c r="H163" s="32">
        <f t="shared" si="65"/>
        <v>45763</v>
      </c>
      <c r="I163" s="32" t="str">
        <f t="shared" si="66"/>
        <v/>
      </c>
      <c r="J163" s="32">
        <f t="shared" si="67"/>
        <v>45839</v>
      </c>
      <c r="K163" s="32" t="str">
        <f t="shared" si="68"/>
        <v/>
      </c>
      <c r="L163" s="32">
        <f t="shared" si="69"/>
        <v>45931</v>
      </c>
      <c r="M163" s="32" t="str">
        <f t="shared" si="70"/>
        <v/>
      </c>
      <c r="N163" s="32">
        <f t="shared" si="71"/>
        <v>45946</v>
      </c>
      <c r="O163" s="32" t="str">
        <f t="shared" si="72"/>
        <v/>
      </c>
      <c r="P163" s="32">
        <f t="shared" si="73"/>
        <v>46023</v>
      </c>
      <c r="Q163" s="32" t="str">
        <f t="shared" si="74"/>
        <v/>
      </c>
      <c r="R163" s="32">
        <f t="shared" si="75"/>
        <v>46113</v>
      </c>
      <c r="S163" s="32" t="str">
        <f t="shared" si="76"/>
        <v/>
      </c>
      <c r="T163" s="32">
        <f t="shared" si="77"/>
        <v>46128</v>
      </c>
      <c r="U163" s="32" t="str">
        <f t="shared" si="78"/>
        <v/>
      </c>
      <c r="V163" s="32">
        <f t="shared" si="79"/>
        <v>46204</v>
      </c>
      <c r="W163" s="32" t="str">
        <f t="shared" si="80"/>
        <v/>
      </c>
      <c r="X163" s="32">
        <f t="shared" si="81"/>
        <v>46296</v>
      </c>
      <c r="Y163" s="32" t="str">
        <f t="shared" si="82"/>
        <v/>
      </c>
      <c r="Z163" s="32">
        <f t="shared" si="83"/>
        <v>46311</v>
      </c>
      <c r="AA163" s="32" t="str">
        <f t="shared" si="84"/>
        <v/>
      </c>
      <c r="AB163" s="32">
        <f t="shared" si="85"/>
        <v>46388</v>
      </c>
      <c r="AC163" s="32" t="str">
        <f t="shared" si="86"/>
        <v/>
      </c>
      <c r="AD163" s="32">
        <f t="shared" si="87"/>
        <v>46478</v>
      </c>
      <c r="AE163" s="32" t="str">
        <f t="shared" si="88"/>
        <v/>
      </c>
      <c r="AF163" s="32">
        <f t="shared" si="89"/>
        <v>46493</v>
      </c>
      <c r="AG163" s="32" t="str">
        <f t="shared" si="90"/>
        <v/>
      </c>
      <c r="AH163" s="32">
        <f t="shared" si="91"/>
        <v>46569</v>
      </c>
      <c r="AI163" s="32" t="str">
        <f t="shared" si="92"/>
        <v/>
      </c>
      <c r="AJ163" s="32">
        <f t="shared" si="93"/>
        <v>46661</v>
      </c>
      <c r="AK163" s="32" t="str">
        <f t="shared" si="94"/>
        <v/>
      </c>
      <c r="AL163" s="32">
        <f t="shared" si="95"/>
        <v>46676</v>
      </c>
      <c r="AM163" s="32" t="str">
        <f t="shared" si="96"/>
        <v/>
      </c>
      <c r="AN163" s="32">
        <f t="shared" si="97"/>
        <v>46753</v>
      </c>
      <c r="AO163" s="32" t="str">
        <f t="shared" si="98"/>
        <v/>
      </c>
      <c r="AP163" s="32">
        <f t="shared" si="99"/>
        <v>46844</v>
      </c>
      <c r="AQ163" s="32" t="str">
        <f t="shared" si="100"/>
        <v/>
      </c>
      <c r="AR163" s="32">
        <f t="shared" si="101"/>
        <v>46859</v>
      </c>
      <c r="AS163" s="32" t="str">
        <f t="shared" si="102"/>
        <v/>
      </c>
      <c r="AT163" s="32">
        <f t="shared" si="103"/>
        <v>46935</v>
      </c>
      <c r="AU163" s="32" t="str">
        <f t="shared" si="104"/>
        <v/>
      </c>
      <c r="AV163" s="32">
        <f t="shared" si="105"/>
        <v>47027</v>
      </c>
      <c r="AW163" s="32" t="str">
        <f t="shared" si="106"/>
        <v/>
      </c>
      <c r="AX163" s="32">
        <f t="shared" si="107"/>
        <v>47042</v>
      </c>
      <c r="AY163" s="32" t="str">
        <f t="shared" si="108"/>
        <v/>
      </c>
      <c r="AZ163" s="32">
        <f t="shared" si="109"/>
        <v>47119</v>
      </c>
      <c r="BA163" s="32" t="str">
        <f t="shared" si="110"/>
        <v/>
      </c>
      <c r="BB163" s="32">
        <f t="shared" si="111"/>
        <v>47209</v>
      </c>
      <c r="BC163" s="32" t="str">
        <f t="shared" si="112"/>
        <v/>
      </c>
      <c r="BD163" s="32">
        <f t="shared" si="113"/>
        <v>47224</v>
      </c>
      <c r="BE163" s="32" t="str">
        <f t="shared" si="114"/>
        <v/>
      </c>
      <c r="BF163" s="32">
        <f t="shared" si="115"/>
        <v>47300</v>
      </c>
      <c r="BG163" s="32" t="str">
        <f t="shared" si="116"/>
        <v/>
      </c>
      <c r="BH163" s="32">
        <f t="shared" si="117"/>
        <v>47392</v>
      </c>
      <c r="BI163" s="32" t="str">
        <f t="shared" si="118"/>
        <v/>
      </c>
      <c r="BJ163" s="32">
        <f t="shared" si="119"/>
        <v>47407</v>
      </c>
      <c r="BK163" s="32" t="str">
        <f t="shared" si="120"/>
        <v/>
      </c>
      <c r="BL163" s="32" t="str">
        <f t="shared" si="121"/>
        <v/>
      </c>
      <c r="BM163" s="32" t="str">
        <f t="shared" si="122"/>
        <v/>
      </c>
      <c r="BN163" s="32" t="str">
        <f t="shared" si="123"/>
        <v/>
      </c>
      <c r="BO163" s="32" t="str">
        <f t="shared" si="124"/>
        <v/>
      </c>
      <c r="BP163" s="32" t="str">
        <f t="shared" si="125"/>
        <v/>
      </c>
      <c r="BQ163" s="32" t="str">
        <f t="shared" si="126"/>
        <v/>
      </c>
      <c r="BR163" s="32" t="str">
        <f t="shared" si="127"/>
        <v/>
      </c>
      <c r="BS163" s="32" t="str">
        <f t="shared" si="128"/>
        <v/>
      </c>
      <c r="BT163" s="32" t="str">
        <f t="shared" si="129"/>
        <v/>
      </c>
      <c r="BU163" s="32" t="str">
        <f t="shared" si="130"/>
        <v/>
      </c>
      <c r="BV163" s="32" t="str">
        <f t="shared" si="131"/>
        <v/>
      </c>
      <c r="BW163" s="32" t="str">
        <f t="shared" si="132"/>
        <v/>
      </c>
      <c r="BX163" s="32" t="str">
        <f t="shared" si="133"/>
        <v/>
      </c>
      <c r="BY163" s="32" t="str">
        <f t="shared" si="134"/>
        <v/>
      </c>
      <c r="BZ163" s="32" t="str">
        <f t="shared" si="135"/>
        <v/>
      </c>
      <c r="CA163" s="32" t="str">
        <f t="shared" si="136"/>
        <v/>
      </c>
      <c r="CB163" s="32" t="str">
        <f t="shared" si="137"/>
        <v/>
      </c>
      <c r="CC163" s="32" t="str">
        <f t="shared" si="138"/>
        <v/>
      </c>
      <c r="CD163" s="32" t="str">
        <f t="shared" si="139"/>
        <v/>
      </c>
      <c r="CE163" s="32" t="str">
        <f t="shared" si="140"/>
        <v/>
      </c>
      <c r="CF163" s="32" t="str">
        <f t="shared" si="141"/>
        <v/>
      </c>
      <c r="CG163" s="32" t="str">
        <f t="shared" si="142"/>
        <v/>
      </c>
      <c r="CH163" s="32" t="str">
        <f t="shared" si="143"/>
        <v/>
      </c>
      <c r="CI163" s="32" t="str">
        <f t="shared" si="144"/>
        <v/>
      </c>
      <c r="CJ163" s="32" t="str">
        <f t="shared" si="145"/>
        <v/>
      </c>
    </row>
    <row r="164" spans="1:88" x14ac:dyDescent="0.2">
      <c r="A164" s="32" t="str">
        <f t="shared" si="58"/>
        <v/>
      </c>
      <c r="B164" s="32">
        <f t="shared" si="59"/>
        <v>45581</v>
      </c>
      <c r="C164" s="32" t="str">
        <f t="shared" si="60"/>
        <v/>
      </c>
      <c r="D164" s="32">
        <f t="shared" si="61"/>
        <v>45658</v>
      </c>
      <c r="E164" s="32" t="str">
        <f t="shared" si="62"/>
        <v/>
      </c>
      <c r="F164" s="32">
        <f t="shared" si="63"/>
        <v>45748</v>
      </c>
      <c r="G164" s="32" t="str">
        <f t="shared" si="64"/>
        <v/>
      </c>
      <c r="H164" s="32">
        <f t="shared" si="65"/>
        <v>45763</v>
      </c>
      <c r="I164" s="32" t="str">
        <f t="shared" si="66"/>
        <v/>
      </c>
      <c r="J164" s="32">
        <f t="shared" si="67"/>
        <v>45839</v>
      </c>
      <c r="K164" s="32" t="str">
        <f t="shared" si="68"/>
        <v/>
      </c>
      <c r="L164" s="32">
        <f t="shared" si="69"/>
        <v>45931</v>
      </c>
      <c r="M164" s="32" t="str">
        <f t="shared" si="70"/>
        <v/>
      </c>
      <c r="N164" s="32">
        <f t="shared" si="71"/>
        <v>45946</v>
      </c>
      <c r="O164" s="32" t="str">
        <f t="shared" si="72"/>
        <v/>
      </c>
      <c r="P164" s="32">
        <f t="shared" si="73"/>
        <v>46023</v>
      </c>
      <c r="Q164" s="32" t="str">
        <f t="shared" si="74"/>
        <v/>
      </c>
      <c r="R164" s="32">
        <f t="shared" si="75"/>
        <v>46113</v>
      </c>
      <c r="S164" s="32" t="str">
        <f t="shared" si="76"/>
        <v/>
      </c>
      <c r="T164" s="32">
        <f t="shared" si="77"/>
        <v>46128</v>
      </c>
      <c r="U164" s="32" t="str">
        <f t="shared" si="78"/>
        <v/>
      </c>
      <c r="V164" s="32">
        <f t="shared" si="79"/>
        <v>46204</v>
      </c>
      <c r="W164" s="32" t="str">
        <f t="shared" si="80"/>
        <v/>
      </c>
      <c r="X164" s="32">
        <f t="shared" si="81"/>
        <v>46296</v>
      </c>
      <c r="Y164" s="32" t="str">
        <f t="shared" si="82"/>
        <v/>
      </c>
      <c r="Z164" s="32">
        <f t="shared" si="83"/>
        <v>46311</v>
      </c>
      <c r="AA164" s="32" t="str">
        <f t="shared" si="84"/>
        <v/>
      </c>
      <c r="AB164" s="32">
        <f t="shared" si="85"/>
        <v>46388</v>
      </c>
      <c r="AC164" s="32" t="str">
        <f t="shared" si="86"/>
        <v/>
      </c>
      <c r="AD164" s="32">
        <f t="shared" si="87"/>
        <v>46478</v>
      </c>
      <c r="AE164" s="32" t="str">
        <f t="shared" si="88"/>
        <v/>
      </c>
      <c r="AF164" s="32">
        <f t="shared" si="89"/>
        <v>46493</v>
      </c>
      <c r="AG164" s="32" t="str">
        <f t="shared" si="90"/>
        <v/>
      </c>
      <c r="AH164" s="32">
        <f t="shared" si="91"/>
        <v>46569</v>
      </c>
      <c r="AI164" s="32" t="str">
        <f t="shared" si="92"/>
        <v/>
      </c>
      <c r="AJ164" s="32">
        <f t="shared" si="93"/>
        <v>46661</v>
      </c>
      <c r="AK164" s="32" t="str">
        <f t="shared" si="94"/>
        <v/>
      </c>
      <c r="AL164" s="32">
        <f t="shared" si="95"/>
        <v>46676</v>
      </c>
      <c r="AM164" s="32" t="str">
        <f t="shared" si="96"/>
        <v/>
      </c>
      <c r="AN164" s="32">
        <f t="shared" si="97"/>
        <v>46753</v>
      </c>
      <c r="AO164" s="32" t="str">
        <f t="shared" si="98"/>
        <v/>
      </c>
      <c r="AP164" s="32">
        <f t="shared" si="99"/>
        <v>46844</v>
      </c>
      <c r="AQ164" s="32" t="str">
        <f t="shared" si="100"/>
        <v/>
      </c>
      <c r="AR164" s="32">
        <f t="shared" si="101"/>
        <v>46859</v>
      </c>
      <c r="AS164" s="32" t="str">
        <f t="shared" si="102"/>
        <v/>
      </c>
      <c r="AT164" s="32">
        <f t="shared" si="103"/>
        <v>46935</v>
      </c>
      <c r="AU164" s="32" t="str">
        <f t="shared" si="104"/>
        <v/>
      </c>
      <c r="AV164" s="32">
        <f t="shared" si="105"/>
        <v>47027</v>
      </c>
      <c r="AW164" s="32" t="str">
        <f t="shared" si="106"/>
        <v/>
      </c>
      <c r="AX164" s="32">
        <f t="shared" si="107"/>
        <v>47042</v>
      </c>
      <c r="AY164" s="32" t="str">
        <f t="shared" si="108"/>
        <v/>
      </c>
      <c r="AZ164" s="32">
        <f t="shared" si="109"/>
        <v>47119</v>
      </c>
      <c r="BA164" s="32" t="str">
        <f t="shared" si="110"/>
        <v/>
      </c>
      <c r="BB164" s="32">
        <f t="shared" si="111"/>
        <v>47209</v>
      </c>
      <c r="BC164" s="32" t="str">
        <f t="shared" si="112"/>
        <v/>
      </c>
      <c r="BD164" s="32">
        <f t="shared" si="113"/>
        <v>47224</v>
      </c>
      <c r="BE164" s="32" t="str">
        <f t="shared" si="114"/>
        <v/>
      </c>
      <c r="BF164" s="32">
        <f t="shared" si="115"/>
        <v>47300</v>
      </c>
      <c r="BG164" s="32" t="str">
        <f t="shared" si="116"/>
        <v/>
      </c>
      <c r="BH164" s="32">
        <f t="shared" si="117"/>
        <v>47392</v>
      </c>
      <c r="BI164" s="32" t="str">
        <f t="shared" si="118"/>
        <v/>
      </c>
      <c r="BJ164" s="32">
        <f t="shared" si="119"/>
        <v>47407</v>
      </c>
      <c r="BK164" s="32" t="str">
        <f t="shared" si="120"/>
        <v/>
      </c>
      <c r="BL164" s="32" t="str">
        <f t="shared" si="121"/>
        <v/>
      </c>
      <c r="BM164" s="32" t="str">
        <f t="shared" si="122"/>
        <v/>
      </c>
      <c r="BN164" s="32" t="str">
        <f t="shared" si="123"/>
        <v/>
      </c>
      <c r="BO164" s="32" t="str">
        <f t="shared" si="124"/>
        <v/>
      </c>
      <c r="BP164" s="32" t="str">
        <f t="shared" si="125"/>
        <v/>
      </c>
      <c r="BQ164" s="32" t="str">
        <f t="shared" si="126"/>
        <v/>
      </c>
      <c r="BR164" s="32" t="str">
        <f t="shared" si="127"/>
        <v/>
      </c>
      <c r="BS164" s="32" t="str">
        <f t="shared" si="128"/>
        <v/>
      </c>
      <c r="BT164" s="32" t="str">
        <f t="shared" si="129"/>
        <v/>
      </c>
      <c r="BU164" s="32" t="str">
        <f t="shared" si="130"/>
        <v/>
      </c>
      <c r="BV164" s="32" t="str">
        <f t="shared" si="131"/>
        <v/>
      </c>
      <c r="BW164" s="32" t="str">
        <f t="shared" si="132"/>
        <v/>
      </c>
      <c r="BX164" s="32" t="str">
        <f t="shared" si="133"/>
        <v/>
      </c>
      <c r="BY164" s="32" t="str">
        <f t="shared" si="134"/>
        <v/>
      </c>
      <c r="BZ164" s="32" t="str">
        <f t="shared" si="135"/>
        <v/>
      </c>
      <c r="CA164" s="32" t="str">
        <f t="shared" si="136"/>
        <v/>
      </c>
      <c r="CB164" s="32" t="str">
        <f t="shared" si="137"/>
        <v/>
      </c>
      <c r="CC164" s="32" t="str">
        <f t="shared" si="138"/>
        <v/>
      </c>
      <c r="CD164" s="32" t="str">
        <f t="shared" si="139"/>
        <v/>
      </c>
      <c r="CE164" s="32" t="str">
        <f t="shared" si="140"/>
        <v/>
      </c>
      <c r="CF164" s="32" t="str">
        <f t="shared" si="141"/>
        <v/>
      </c>
      <c r="CG164" s="32" t="str">
        <f t="shared" si="142"/>
        <v/>
      </c>
      <c r="CH164" s="32" t="str">
        <f t="shared" si="143"/>
        <v/>
      </c>
      <c r="CI164" s="32" t="str">
        <f t="shared" si="144"/>
        <v/>
      </c>
      <c r="CJ164" s="32" t="str">
        <f t="shared" si="145"/>
        <v/>
      </c>
    </row>
    <row r="165" spans="1:88" x14ac:dyDescent="0.2">
      <c r="A165" s="32" t="str">
        <f t="shared" si="58"/>
        <v/>
      </c>
      <c r="B165" s="32">
        <f t="shared" si="59"/>
        <v>45581</v>
      </c>
      <c r="C165" s="32" t="str">
        <f t="shared" si="60"/>
        <v/>
      </c>
      <c r="D165" s="32">
        <f t="shared" si="61"/>
        <v>45658</v>
      </c>
      <c r="E165" s="32" t="str">
        <f t="shared" si="62"/>
        <v/>
      </c>
      <c r="F165" s="32">
        <f t="shared" si="63"/>
        <v>45748</v>
      </c>
      <c r="G165" s="32" t="str">
        <f t="shared" si="64"/>
        <v/>
      </c>
      <c r="H165" s="32">
        <f t="shared" si="65"/>
        <v>45763</v>
      </c>
      <c r="I165" s="32" t="str">
        <f t="shared" si="66"/>
        <v/>
      </c>
      <c r="J165" s="32">
        <f t="shared" si="67"/>
        <v>45839</v>
      </c>
      <c r="K165" s="32" t="str">
        <f t="shared" si="68"/>
        <v/>
      </c>
      <c r="L165" s="32">
        <f t="shared" si="69"/>
        <v>45931</v>
      </c>
      <c r="M165" s="32" t="str">
        <f t="shared" si="70"/>
        <v/>
      </c>
      <c r="N165" s="32">
        <f t="shared" si="71"/>
        <v>45946</v>
      </c>
      <c r="O165" s="32" t="str">
        <f t="shared" si="72"/>
        <v/>
      </c>
      <c r="P165" s="32">
        <f t="shared" si="73"/>
        <v>46023</v>
      </c>
      <c r="Q165" s="32" t="str">
        <f t="shared" si="74"/>
        <v/>
      </c>
      <c r="R165" s="32">
        <f t="shared" si="75"/>
        <v>46113</v>
      </c>
      <c r="S165" s="32" t="str">
        <f t="shared" si="76"/>
        <v/>
      </c>
      <c r="T165" s="32">
        <f t="shared" si="77"/>
        <v>46128</v>
      </c>
      <c r="U165" s="32" t="str">
        <f t="shared" si="78"/>
        <v/>
      </c>
      <c r="V165" s="32">
        <f t="shared" si="79"/>
        <v>46204</v>
      </c>
      <c r="W165" s="32" t="str">
        <f t="shared" si="80"/>
        <v/>
      </c>
      <c r="X165" s="32">
        <f t="shared" si="81"/>
        <v>46296</v>
      </c>
      <c r="Y165" s="32" t="str">
        <f t="shared" si="82"/>
        <v/>
      </c>
      <c r="Z165" s="32">
        <f t="shared" si="83"/>
        <v>46311</v>
      </c>
      <c r="AA165" s="32" t="str">
        <f t="shared" si="84"/>
        <v/>
      </c>
      <c r="AB165" s="32">
        <f t="shared" si="85"/>
        <v>46388</v>
      </c>
      <c r="AC165" s="32" t="str">
        <f t="shared" si="86"/>
        <v/>
      </c>
      <c r="AD165" s="32">
        <f t="shared" si="87"/>
        <v>46478</v>
      </c>
      <c r="AE165" s="32" t="str">
        <f t="shared" si="88"/>
        <v/>
      </c>
      <c r="AF165" s="32">
        <f t="shared" si="89"/>
        <v>46493</v>
      </c>
      <c r="AG165" s="32" t="str">
        <f t="shared" si="90"/>
        <v/>
      </c>
      <c r="AH165" s="32">
        <f t="shared" si="91"/>
        <v>46569</v>
      </c>
      <c r="AI165" s="32" t="str">
        <f t="shared" si="92"/>
        <v/>
      </c>
      <c r="AJ165" s="32">
        <f t="shared" si="93"/>
        <v>46661</v>
      </c>
      <c r="AK165" s="32" t="str">
        <f t="shared" si="94"/>
        <v/>
      </c>
      <c r="AL165" s="32">
        <f t="shared" si="95"/>
        <v>46676</v>
      </c>
      <c r="AM165" s="32" t="str">
        <f t="shared" si="96"/>
        <v/>
      </c>
      <c r="AN165" s="32">
        <f t="shared" si="97"/>
        <v>46753</v>
      </c>
      <c r="AO165" s="32" t="str">
        <f t="shared" si="98"/>
        <v/>
      </c>
      <c r="AP165" s="32">
        <f t="shared" si="99"/>
        <v>46844</v>
      </c>
      <c r="AQ165" s="32" t="str">
        <f t="shared" si="100"/>
        <v/>
      </c>
      <c r="AR165" s="32">
        <f t="shared" si="101"/>
        <v>46859</v>
      </c>
      <c r="AS165" s="32" t="str">
        <f t="shared" si="102"/>
        <v/>
      </c>
      <c r="AT165" s="32">
        <f t="shared" si="103"/>
        <v>46935</v>
      </c>
      <c r="AU165" s="32" t="str">
        <f t="shared" si="104"/>
        <v/>
      </c>
      <c r="AV165" s="32">
        <f t="shared" si="105"/>
        <v>47027</v>
      </c>
      <c r="AW165" s="32" t="str">
        <f t="shared" si="106"/>
        <v/>
      </c>
      <c r="AX165" s="32">
        <f t="shared" si="107"/>
        <v>47042</v>
      </c>
      <c r="AY165" s="32" t="str">
        <f t="shared" si="108"/>
        <v/>
      </c>
      <c r="AZ165" s="32">
        <f t="shared" si="109"/>
        <v>47119</v>
      </c>
      <c r="BA165" s="32" t="str">
        <f t="shared" si="110"/>
        <v/>
      </c>
      <c r="BB165" s="32">
        <f t="shared" si="111"/>
        <v>47209</v>
      </c>
      <c r="BC165" s="32" t="str">
        <f t="shared" si="112"/>
        <v/>
      </c>
      <c r="BD165" s="32">
        <f t="shared" si="113"/>
        <v>47224</v>
      </c>
      <c r="BE165" s="32" t="str">
        <f t="shared" si="114"/>
        <v/>
      </c>
      <c r="BF165" s="32">
        <f t="shared" si="115"/>
        <v>47300</v>
      </c>
      <c r="BG165" s="32" t="str">
        <f t="shared" si="116"/>
        <v/>
      </c>
      <c r="BH165" s="32">
        <f t="shared" si="117"/>
        <v>47392</v>
      </c>
      <c r="BI165" s="32" t="str">
        <f t="shared" si="118"/>
        <v/>
      </c>
      <c r="BJ165" s="32">
        <f t="shared" si="119"/>
        <v>47407</v>
      </c>
      <c r="BK165" s="32" t="str">
        <f t="shared" si="120"/>
        <v/>
      </c>
      <c r="BL165" s="32" t="str">
        <f t="shared" si="121"/>
        <v/>
      </c>
      <c r="BM165" s="32" t="str">
        <f t="shared" si="122"/>
        <v/>
      </c>
      <c r="BN165" s="32" t="str">
        <f t="shared" si="123"/>
        <v/>
      </c>
      <c r="BO165" s="32" t="str">
        <f t="shared" si="124"/>
        <v/>
      </c>
      <c r="BP165" s="32" t="str">
        <f t="shared" si="125"/>
        <v/>
      </c>
      <c r="BQ165" s="32" t="str">
        <f t="shared" si="126"/>
        <v/>
      </c>
      <c r="BR165" s="32" t="str">
        <f t="shared" si="127"/>
        <v/>
      </c>
      <c r="BS165" s="32" t="str">
        <f t="shared" si="128"/>
        <v/>
      </c>
      <c r="BT165" s="32" t="str">
        <f t="shared" si="129"/>
        <v/>
      </c>
      <c r="BU165" s="32" t="str">
        <f t="shared" si="130"/>
        <v/>
      </c>
      <c r="BV165" s="32" t="str">
        <f t="shared" si="131"/>
        <v/>
      </c>
      <c r="BW165" s="32" t="str">
        <f t="shared" si="132"/>
        <v/>
      </c>
      <c r="BX165" s="32" t="str">
        <f t="shared" si="133"/>
        <v/>
      </c>
      <c r="BY165" s="32" t="str">
        <f t="shared" si="134"/>
        <v/>
      </c>
      <c r="BZ165" s="32" t="str">
        <f t="shared" si="135"/>
        <v/>
      </c>
      <c r="CA165" s="32" t="str">
        <f t="shared" si="136"/>
        <v/>
      </c>
      <c r="CB165" s="32" t="str">
        <f t="shared" si="137"/>
        <v/>
      </c>
      <c r="CC165" s="32" t="str">
        <f t="shared" si="138"/>
        <v/>
      </c>
      <c r="CD165" s="32" t="str">
        <f t="shared" si="139"/>
        <v/>
      </c>
      <c r="CE165" s="32" t="str">
        <f t="shared" si="140"/>
        <v/>
      </c>
      <c r="CF165" s="32" t="str">
        <f t="shared" si="141"/>
        <v/>
      </c>
      <c r="CG165" s="32" t="str">
        <f t="shared" si="142"/>
        <v/>
      </c>
      <c r="CH165" s="32" t="str">
        <f t="shared" si="143"/>
        <v/>
      </c>
      <c r="CI165" s="32" t="str">
        <f t="shared" si="144"/>
        <v/>
      </c>
      <c r="CJ165" s="32" t="str">
        <f t="shared" si="145"/>
        <v/>
      </c>
    </row>
    <row r="166" spans="1:88" x14ac:dyDescent="0.2">
      <c r="A166" s="32" t="str">
        <f t="shared" si="58"/>
        <v/>
      </c>
      <c r="B166" s="32">
        <f t="shared" si="59"/>
        <v>45581</v>
      </c>
      <c r="C166" s="32" t="str">
        <f t="shared" si="60"/>
        <v/>
      </c>
      <c r="D166" s="32">
        <f t="shared" si="61"/>
        <v>45658</v>
      </c>
      <c r="E166" s="32" t="str">
        <f t="shared" si="62"/>
        <v/>
      </c>
      <c r="F166" s="32">
        <f t="shared" si="63"/>
        <v>45748</v>
      </c>
      <c r="G166" s="32" t="str">
        <f t="shared" si="64"/>
        <v/>
      </c>
      <c r="H166" s="32">
        <f t="shared" si="65"/>
        <v>45763</v>
      </c>
      <c r="I166" s="32" t="str">
        <f t="shared" si="66"/>
        <v/>
      </c>
      <c r="J166" s="32">
        <f t="shared" si="67"/>
        <v>45839</v>
      </c>
      <c r="K166" s="32" t="str">
        <f t="shared" si="68"/>
        <v/>
      </c>
      <c r="L166" s="32">
        <f t="shared" si="69"/>
        <v>45931</v>
      </c>
      <c r="M166" s="32" t="str">
        <f t="shared" si="70"/>
        <v/>
      </c>
      <c r="N166" s="32">
        <f t="shared" si="71"/>
        <v>45946</v>
      </c>
      <c r="O166" s="32" t="str">
        <f t="shared" si="72"/>
        <v/>
      </c>
      <c r="P166" s="32">
        <f t="shared" si="73"/>
        <v>46023</v>
      </c>
      <c r="Q166" s="32" t="str">
        <f t="shared" si="74"/>
        <v/>
      </c>
      <c r="R166" s="32">
        <f t="shared" si="75"/>
        <v>46113</v>
      </c>
      <c r="S166" s="32" t="str">
        <f t="shared" si="76"/>
        <v/>
      </c>
      <c r="T166" s="32">
        <f t="shared" si="77"/>
        <v>46128</v>
      </c>
      <c r="U166" s="32" t="str">
        <f t="shared" si="78"/>
        <v/>
      </c>
      <c r="V166" s="32">
        <f t="shared" si="79"/>
        <v>46204</v>
      </c>
      <c r="W166" s="32" t="str">
        <f t="shared" si="80"/>
        <v/>
      </c>
      <c r="X166" s="32">
        <f t="shared" si="81"/>
        <v>46296</v>
      </c>
      <c r="Y166" s="32" t="str">
        <f t="shared" si="82"/>
        <v/>
      </c>
      <c r="Z166" s="32">
        <f t="shared" si="83"/>
        <v>46311</v>
      </c>
      <c r="AA166" s="32" t="str">
        <f t="shared" si="84"/>
        <v/>
      </c>
      <c r="AB166" s="32">
        <f t="shared" si="85"/>
        <v>46388</v>
      </c>
      <c r="AC166" s="32" t="str">
        <f t="shared" si="86"/>
        <v/>
      </c>
      <c r="AD166" s="32">
        <f t="shared" si="87"/>
        <v>46478</v>
      </c>
      <c r="AE166" s="32" t="str">
        <f t="shared" si="88"/>
        <v/>
      </c>
      <c r="AF166" s="32">
        <f t="shared" si="89"/>
        <v>46493</v>
      </c>
      <c r="AG166" s="32" t="str">
        <f t="shared" si="90"/>
        <v/>
      </c>
      <c r="AH166" s="32">
        <f t="shared" si="91"/>
        <v>46569</v>
      </c>
      <c r="AI166" s="32" t="str">
        <f t="shared" si="92"/>
        <v/>
      </c>
      <c r="AJ166" s="32">
        <f t="shared" si="93"/>
        <v>46661</v>
      </c>
      <c r="AK166" s="32" t="str">
        <f t="shared" si="94"/>
        <v/>
      </c>
      <c r="AL166" s="32">
        <f t="shared" si="95"/>
        <v>46676</v>
      </c>
      <c r="AM166" s="32" t="str">
        <f t="shared" si="96"/>
        <v/>
      </c>
      <c r="AN166" s="32">
        <f t="shared" si="97"/>
        <v>46753</v>
      </c>
      <c r="AO166" s="32" t="str">
        <f t="shared" si="98"/>
        <v/>
      </c>
      <c r="AP166" s="32">
        <f t="shared" si="99"/>
        <v>46844</v>
      </c>
      <c r="AQ166" s="32" t="str">
        <f t="shared" si="100"/>
        <v/>
      </c>
      <c r="AR166" s="32">
        <f t="shared" si="101"/>
        <v>46859</v>
      </c>
      <c r="AS166" s="32" t="str">
        <f t="shared" si="102"/>
        <v/>
      </c>
      <c r="AT166" s="32">
        <f t="shared" si="103"/>
        <v>46935</v>
      </c>
      <c r="AU166" s="32" t="str">
        <f t="shared" si="104"/>
        <v/>
      </c>
      <c r="AV166" s="32">
        <f t="shared" si="105"/>
        <v>47027</v>
      </c>
      <c r="AW166" s="32" t="str">
        <f t="shared" si="106"/>
        <v/>
      </c>
      <c r="AX166" s="32">
        <f t="shared" si="107"/>
        <v>47042</v>
      </c>
      <c r="AY166" s="32" t="str">
        <f t="shared" si="108"/>
        <v/>
      </c>
      <c r="AZ166" s="32">
        <f t="shared" si="109"/>
        <v>47119</v>
      </c>
      <c r="BA166" s="32" t="str">
        <f t="shared" si="110"/>
        <v/>
      </c>
      <c r="BB166" s="32">
        <f t="shared" si="111"/>
        <v>47209</v>
      </c>
      <c r="BC166" s="32" t="str">
        <f t="shared" si="112"/>
        <v/>
      </c>
      <c r="BD166" s="32">
        <f t="shared" si="113"/>
        <v>47224</v>
      </c>
      <c r="BE166" s="32" t="str">
        <f t="shared" si="114"/>
        <v/>
      </c>
      <c r="BF166" s="32">
        <f t="shared" si="115"/>
        <v>47300</v>
      </c>
      <c r="BG166" s="32" t="str">
        <f t="shared" si="116"/>
        <v/>
      </c>
      <c r="BH166" s="32">
        <f t="shared" si="117"/>
        <v>47392</v>
      </c>
      <c r="BI166" s="32" t="str">
        <f t="shared" si="118"/>
        <v/>
      </c>
      <c r="BJ166" s="32">
        <f t="shared" si="119"/>
        <v>47407</v>
      </c>
      <c r="BK166" s="32" t="str">
        <f t="shared" si="120"/>
        <v/>
      </c>
      <c r="BL166" s="32" t="str">
        <f t="shared" si="121"/>
        <v/>
      </c>
      <c r="BM166" s="32" t="str">
        <f t="shared" si="122"/>
        <v/>
      </c>
      <c r="BN166" s="32" t="str">
        <f t="shared" si="123"/>
        <v/>
      </c>
      <c r="BO166" s="32" t="str">
        <f t="shared" si="124"/>
        <v/>
      </c>
      <c r="BP166" s="32" t="str">
        <f t="shared" si="125"/>
        <v/>
      </c>
      <c r="BQ166" s="32" t="str">
        <f t="shared" si="126"/>
        <v/>
      </c>
      <c r="BR166" s="32" t="str">
        <f t="shared" si="127"/>
        <v/>
      </c>
      <c r="BS166" s="32" t="str">
        <f t="shared" si="128"/>
        <v/>
      </c>
      <c r="BT166" s="32" t="str">
        <f t="shared" si="129"/>
        <v/>
      </c>
      <c r="BU166" s="32" t="str">
        <f t="shared" si="130"/>
        <v/>
      </c>
      <c r="BV166" s="32" t="str">
        <f t="shared" si="131"/>
        <v/>
      </c>
      <c r="BW166" s="32" t="str">
        <f t="shared" si="132"/>
        <v/>
      </c>
      <c r="BX166" s="32" t="str">
        <f t="shared" si="133"/>
        <v/>
      </c>
      <c r="BY166" s="32" t="str">
        <f t="shared" si="134"/>
        <v/>
      </c>
      <c r="BZ166" s="32" t="str">
        <f t="shared" si="135"/>
        <v/>
      </c>
      <c r="CA166" s="32" t="str">
        <f t="shared" si="136"/>
        <v/>
      </c>
      <c r="CB166" s="32" t="str">
        <f t="shared" si="137"/>
        <v/>
      </c>
      <c r="CC166" s="32" t="str">
        <f t="shared" si="138"/>
        <v/>
      </c>
      <c r="CD166" s="32" t="str">
        <f t="shared" si="139"/>
        <v/>
      </c>
      <c r="CE166" s="32" t="str">
        <f t="shared" si="140"/>
        <v/>
      </c>
      <c r="CF166" s="32" t="str">
        <f t="shared" si="141"/>
        <v/>
      </c>
      <c r="CG166" s="32" t="str">
        <f t="shared" si="142"/>
        <v/>
      </c>
      <c r="CH166" s="32" t="str">
        <f t="shared" si="143"/>
        <v/>
      </c>
      <c r="CI166" s="32" t="str">
        <f t="shared" si="144"/>
        <v/>
      </c>
      <c r="CJ166" s="32" t="str">
        <f t="shared" si="145"/>
        <v/>
      </c>
    </row>
    <row r="167" spans="1:88" x14ac:dyDescent="0.2">
      <c r="A167" s="32" t="str">
        <f t="shared" si="58"/>
        <v/>
      </c>
      <c r="B167" s="32">
        <f t="shared" si="59"/>
        <v>45581</v>
      </c>
      <c r="C167" s="32" t="str">
        <f t="shared" si="60"/>
        <v/>
      </c>
      <c r="D167" s="32">
        <f t="shared" si="61"/>
        <v>45658</v>
      </c>
      <c r="E167" s="32" t="str">
        <f t="shared" si="62"/>
        <v/>
      </c>
      <c r="F167" s="32">
        <f t="shared" si="63"/>
        <v>45748</v>
      </c>
      <c r="G167" s="32" t="str">
        <f t="shared" si="64"/>
        <v/>
      </c>
      <c r="H167" s="32">
        <f t="shared" si="65"/>
        <v>45763</v>
      </c>
      <c r="I167" s="32" t="str">
        <f t="shared" si="66"/>
        <v/>
      </c>
      <c r="J167" s="32">
        <f t="shared" si="67"/>
        <v>45839</v>
      </c>
      <c r="K167" s="32" t="str">
        <f t="shared" si="68"/>
        <v/>
      </c>
      <c r="L167" s="32">
        <f t="shared" si="69"/>
        <v>45931</v>
      </c>
      <c r="M167" s="32" t="str">
        <f t="shared" si="70"/>
        <v/>
      </c>
      <c r="N167" s="32">
        <f t="shared" si="71"/>
        <v>45946</v>
      </c>
      <c r="O167" s="32" t="str">
        <f t="shared" si="72"/>
        <v/>
      </c>
      <c r="P167" s="32">
        <f t="shared" si="73"/>
        <v>46023</v>
      </c>
      <c r="Q167" s="32" t="str">
        <f t="shared" si="74"/>
        <v/>
      </c>
      <c r="R167" s="32">
        <f t="shared" si="75"/>
        <v>46113</v>
      </c>
      <c r="S167" s="32" t="str">
        <f t="shared" si="76"/>
        <v/>
      </c>
      <c r="T167" s="32">
        <f t="shared" si="77"/>
        <v>46128</v>
      </c>
      <c r="U167" s="32" t="str">
        <f t="shared" si="78"/>
        <v/>
      </c>
      <c r="V167" s="32">
        <f t="shared" si="79"/>
        <v>46204</v>
      </c>
      <c r="W167" s="32" t="str">
        <f t="shared" si="80"/>
        <v/>
      </c>
      <c r="X167" s="32">
        <f t="shared" si="81"/>
        <v>46296</v>
      </c>
      <c r="Y167" s="32" t="str">
        <f t="shared" si="82"/>
        <v/>
      </c>
      <c r="Z167" s="32">
        <f t="shared" si="83"/>
        <v>46311</v>
      </c>
      <c r="AA167" s="32" t="str">
        <f t="shared" si="84"/>
        <v/>
      </c>
      <c r="AB167" s="32">
        <f t="shared" si="85"/>
        <v>46388</v>
      </c>
      <c r="AC167" s="32" t="str">
        <f t="shared" si="86"/>
        <v/>
      </c>
      <c r="AD167" s="32">
        <f t="shared" si="87"/>
        <v>46478</v>
      </c>
      <c r="AE167" s="32" t="str">
        <f t="shared" si="88"/>
        <v/>
      </c>
      <c r="AF167" s="32">
        <f t="shared" si="89"/>
        <v>46493</v>
      </c>
      <c r="AG167" s="32" t="str">
        <f t="shared" si="90"/>
        <v/>
      </c>
      <c r="AH167" s="32">
        <f t="shared" si="91"/>
        <v>46569</v>
      </c>
      <c r="AI167" s="32" t="str">
        <f t="shared" si="92"/>
        <v/>
      </c>
      <c r="AJ167" s="32">
        <f t="shared" si="93"/>
        <v>46661</v>
      </c>
      <c r="AK167" s="32" t="str">
        <f t="shared" si="94"/>
        <v/>
      </c>
      <c r="AL167" s="32">
        <f t="shared" si="95"/>
        <v>46676</v>
      </c>
      <c r="AM167" s="32" t="str">
        <f t="shared" si="96"/>
        <v/>
      </c>
      <c r="AN167" s="32">
        <f t="shared" si="97"/>
        <v>46753</v>
      </c>
      <c r="AO167" s="32" t="str">
        <f t="shared" si="98"/>
        <v/>
      </c>
      <c r="AP167" s="32">
        <f t="shared" si="99"/>
        <v>46844</v>
      </c>
      <c r="AQ167" s="32" t="str">
        <f t="shared" si="100"/>
        <v/>
      </c>
      <c r="AR167" s="32">
        <f t="shared" si="101"/>
        <v>46859</v>
      </c>
      <c r="AS167" s="32" t="str">
        <f t="shared" si="102"/>
        <v/>
      </c>
      <c r="AT167" s="32">
        <f t="shared" si="103"/>
        <v>46935</v>
      </c>
      <c r="AU167" s="32" t="str">
        <f t="shared" si="104"/>
        <v/>
      </c>
      <c r="AV167" s="32">
        <f t="shared" si="105"/>
        <v>47027</v>
      </c>
      <c r="AW167" s="32" t="str">
        <f t="shared" si="106"/>
        <v/>
      </c>
      <c r="AX167" s="32">
        <f t="shared" si="107"/>
        <v>47042</v>
      </c>
      <c r="AY167" s="32" t="str">
        <f t="shared" si="108"/>
        <v/>
      </c>
      <c r="AZ167" s="32">
        <f t="shared" si="109"/>
        <v>47119</v>
      </c>
      <c r="BA167" s="32" t="str">
        <f t="shared" si="110"/>
        <v/>
      </c>
      <c r="BB167" s="32">
        <f t="shared" si="111"/>
        <v>47209</v>
      </c>
      <c r="BC167" s="32" t="str">
        <f t="shared" si="112"/>
        <v/>
      </c>
      <c r="BD167" s="32">
        <f t="shared" si="113"/>
        <v>47224</v>
      </c>
      <c r="BE167" s="32" t="str">
        <f t="shared" si="114"/>
        <v/>
      </c>
      <c r="BF167" s="32">
        <f t="shared" si="115"/>
        <v>47300</v>
      </c>
      <c r="BG167" s="32" t="str">
        <f t="shared" si="116"/>
        <v/>
      </c>
      <c r="BH167" s="32">
        <f t="shared" si="117"/>
        <v>47392</v>
      </c>
      <c r="BI167" s="32" t="str">
        <f t="shared" si="118"/>
        <v/>
      </c>
      <c r="BJ167" s="32">
        <f t="shared" si="119"/>
        <v>47407</v>
      </c>
      <c r="BK167" s="32" t="str">
        <f t="shared" si="120"/>
        <v/>
      </c>
      <c r="BL167" s="32" t="str">
        <f t="shared" si="121"/>
        <v/>
      </c>
      <c r="BM167" s="32" t="str">
        <f t="shared" si="122"/>
        <v/>
      </c>
      <c r="BN167" s="32" t="str">
        <f t="shared" si="123"/>
        <v/>
      </c>
      <c r="BO167" s="32" t="str">
        <f t="shared" si="124"/>
        <v/>
      </c>
      <c r="BP167" s="32" t="str">
        <f t="shared" si="125"/>
        <v/>
      </c>
      <c r="BQ167" s="32" t="str">
        <f t="shared" si="126"/>
        <v/>
      </c>
      <c r="BR167" s="32" t="str">
        <f t="shared" si="127"/>
        <v/>
      </c>
      <c r="BS167" s="32" t="str">
        <f t="shared" si="128"/>
        <v/>
      </c>
      <c r="BT167" s="32" t="str">
        <f t="shared" si="129"/>
        <v/>
      </c>
      <c r="BU167" s="32" t="str">
        <f t="shared" si="130"/>
        <v/>
      </c>
      <c r="BV167" s="32" t="str">
        <f t="shared" si="131"/>
        <v/>
      </c>
      <c r="BW167" s="32" t="str">
        <f t="shared" si="132"/>
        <v/>
      </c>
      <c r="BX167" s="32" t="str">
        <f t="shared" si="133"/>
        <v/>
      </c>
      <c r="BY167" s="32" t="str">
        <f t="shared" si="134"/>
        <v/>
      </c>
      <c r="BZ167" s="32" t="str">
        <f t="shared" si="135"/>
        <v/>
      </c>
      <c r="CA167" s="32" t="str">
        <f t="shared" si="136"/>
        <v/>
      </c>
      <c r="CB167" s="32" t="str">
        <f t="shared" si="137"/>
        <v/>
      </c>
      <c r="CC167" s="32" t="str">
        <f t="shared" si="138"/>
        <v/>
      </c>
      <c r="CD167" s="32" t="str">
        <f t="shared" si="139"/>
        <v/>
      </c>
      <c r="CE167" s="32" t="str">
        <f t="shared" si="140"/>
        <v/>
      </c>
      <c r="CF167" s="32" t="str">
        <f t="shared" si="141"/>
        <v/>
      </c>
      <c r="CG167" s="32" t="str">
        <f t="shared" si="142"/>
        <v/>
      </c>
      <c r="CH167" s="32" t="str">
        <f t="shared" si="143"/>
        <v/>
      </c>
      <c r="CI167" s="32" t="str">
        <f t="shared" si="144"/>
        <v/>
      </c>
      <c r="CJ167" s="32" t="str">
        <f t="shared" si="145"/>
        <v/>
      </c>
    </row>
    <row r="168" spans="1:88" x14ac:dyDescent="0.2">
      <c r="A168" s="32">
        <f>G117</f>
        <v>45658</v>
      </c>
      <c r="B168" s="32">
        <f t="shared" si="59"/>
        <v>45581</v>
      </c>
      <c r="C168" s="32">
        <f t="shared" si="60"/>
        <v>45658</v>
      </c>
      <c r="D168" s="32">
        <f t="shared" si="61"/>
        <v>45658</v>
      </c>
      <c r="E168" s="32" t="str">
        <f t="shared" si="62"/>
        <v/>
      </c>
      <c r="F168" s="32">
        <f t="shared" si="63"/>
        <v>45748</v>
      </c>
      <c r="G168" s="32" t="str">
        <f t="shared" si="64"/>
        <v/>
      </c>
      <c r="H168" s="32">
        <f t="shared" si="65"/>
        <v>45763</v>
      </c>
      <c r="I168" s="32" t="str">
        <f t="shared" si="66"/>
        <v/>
      </c>
      <c r="J168" s="32">
        <f t="shared" si="67"/>
        <v>45839</v>
      </c>
      <c r="K168" s="32" t="str">
        <f t="shared" si="68"/>
        <v/>
      </c>
      <c r="L168" s="32">
        <f t="shared" si="69"/>
        <v>45931</v>
      </c>
      <c r="M168" s="32" t="str">
        <f t="shared" si="70"/>
        <v/>
      </c>
      <c r="N168" s="32">
        <f t="shared" si="71"/>
        <v>45946</v>
      </c>
      <c r="O168" s="32" t="str">
        <f t="shared" si="72"/>
        <v/>
      </c>
      <c r="P168" s="32">
        <f t="shared" si="73"/>
        <v>46023</v>
      </c>
      <c r="Q168" s="32" t="str">
        <f t="shared" si="74"/>
        <v/>
      </c>
      <c r="R168" s="32">
        <f t="shared" si="75"/>
        <v>46113</v>
      </c>
      <c r="S168" s="32" t="str">
        <f t="shared" si="76"/>
        <v/>
      </c>
      <c r="T168" s="32">
        <f t="shared" si="77"/>
        <v>46128</v>
      </c>
      <c r="U168" s="32" t="str">
        <f t="shared" si="78"/>
        <v/>
      </c>
      <c r="V168" s="32">
        <f t="shared" si="79"/>
        <v>46204</v>
      </c>
      <c r="W168" s="32" t="str">
        <f t="shared" si="80"/>
        <v/>
      </c>
      <c r="X168" s="32">
        <f t="shared" si="81"/>
        <v>46296</v>
      </c>
      <c r="Y168" s="32" t="str">
        <f t="shared" si="82"/>
        <v/>
      </c>
      <c r="Z168" s="32">
        <f t="shared" si="83"/>
        <v>46311</v>
      </c>
      <c r="AA168" s="32" t="str">
        <f t="shared" si="84"/>
        <v/>
      </c>
      <c r="AB168" s="32">
        <f t="shared" si="85"/>
        <v>46388</v>
      </c>
      <c r="AC168" s="32" t="str">
        <f t="shared" si="86"/>
        <v/>
      </c>
      <c r="AD168" s="32">
        <f t="shared" si="87"/>
        <v>46478</v>
      </c>
      <c r="AE168" s="32" t="str">
        <f t="shared" si="88"/>
        <v/>
      </c>
      <c r="AF168" s="32">
        <f t="shared" si="89"/>
        <v>46493</v>
      </c>
      <c r="AG168" s="32" t="str">
        <f t="shared" si="90"/>
        <v/>
      </c>
      <c r="AH168" s="32">
        <f t="shared" si="91"/>
        <v>46569</v>
      </c>
      <c r="AI168" s="32" t="str">
        <f t="shared" si="92"/>
        <v/>
      </c>
      <c r="AJ168" s="32">
        <f t="shared" si="93"/>
        <v>46661</v>
      </c>
      <c r="AK168" s="32" t="str">
        <f t="shared" si="94"/>
        <v/>
      </c>
      <c r="AL168" s="32">
        <f t="shared" si="95"/>
        <v>46676</v>
      </c>
      <c r="AM168" s="32" t="str">
        <f t="shared" si="96"/>
        <v/>
      </c>
      <c r="AN168" s="32">
        <f t="shared" si="97"/>
        <v>46753</v>
      </c>
      <c r="AO168" s="32" t="str">
        <f t="shared" si="98"/>
        <v/>
      </c>
      <c r="AP168" s="32">
        <f t="shared" si="99"/>
        <v>46844</v>
      </c>
      <c r="AQ168" s="32" t="str">
        <f t="shared" si="100"/>
        <v/>
      </c>
      <c r="AR168" s="32">
        <f t="shared" si="101"/>
        <v>46859</v>
      </c>
      <c r="AS168" s="32" t="str">
        <f t="shared" si="102"/>
        <v/>
      </c>
      <c r="AT168" s="32">
        <f t="shared" si="103"/>
        <v>46935</v>
      </c>
      <c r="AU168" s="32" t="str">
        <f t="shared" si="104"/>
        <v/>
      </c>
      <c r="AV168" s="32">
        <f t="shared" si="105"/>
        <v>47027</v>
      </c>
      <c r="AW168" s="32" t="str">
        <f t="shared" si="106"/>
        <v/>
      </c>
      <c r="AX168" s="32">
        <f t="shared" si="107"/>
        <v>47042</v>
      </c>
      <c r="AY168" s="32" t="str">
        <f t="shared" si="108"/>
        <v/>
      </c>
      <c r="AZ168" s="32">
        <f t="shared" si="109"/>
        <v>47119</v>
      </c>
      <c r="BA168" s="32" t="str">
        <f t="shared" si="110"/>
        <v/>
      </c>
      <c r="BB168" s="32">
        <f t="shared" si="111"/>
        <v>47209</v>
      </c>
      <c r="BC168" s="32" t="str">
        <f t="shared" si="112"/>
        <v/>
      </c>
      <c r="BD168" s="32">
        <f t="shared" si="113"/>
        <v>47224</v>
      </c>
      <c r="BE168" s="32" t="str">
        <f t="shared" si="114"/>
        <v/>
      </c>
      <c r="BF168" s="32">
        <f t="shared" si="115"/>
        <v>47300</v>
      </c>
      <c r="BG168" s="32" t="str">
        <f t="shared" si="116"/>
        <v/>
      </c>
      <c r="BH168" s="32">
        <f t="shared" si="117"/>
        <v>47392</v>
      </c>
      <c r="BI168" s="32" t="str">
        <f t="shared" si="118"/>
        <v/>
      </c>
      <c r="BJ168" s="32">
        <f t="shared" si="119"/>
        <v>47407</v>
      </c>
      <c r="BK168" s="32" t="str">
        <f t="shared" si="120"/>
        <v/>
      </c>
      <c r="BL168" s="32" t="str">
        <f t="shared" si="121"/>
        <v/>
      </c>
      <c r="BM168" s="32" t="str">
        <f t="shared" si="122"/>
        <v/>
      </c>
      <c r="BN168" s="32" t="str">
        <f t="shared" si="123"/>
        <v/>
      </c>
      <c r="BO168" s="32" t="str">
        <f t="shared" si="124"/>
        <v/>
      </c>
      <c r="BP168" s="32" t="str">
        <f t="shared" si="125"/>
        <v/>
      </c>
      <c r="BQ168" s="32" t="str">
        <f t="shared" si="126"/>
        <v/>
      </c>
      <c r="BR168" s="32" t="str">
        <f t="shared" si="127"/>
        <v/>
      </c>
      <c r="BS168" s="32" t="str">
        <f t="shared" si="128"/>
        <v/>
      </c>
      <c r="BT168" s="32" t="str">
        <f t="shared" si="129"/>
        <v/>
      </c>
      <c r="BU168" s="32" t="str">
        <f t="shared" si="130"/>
        <v/>
      </c>
      <c r="BV168" s="32" t="str">
        <f t="shared" si="131"/>
        <v/>
      </c>
      <c r="BW168" s="32" t="str">
        <f t="shared" si="132"/>
        <v/>
      </c>
      <c r="BX168" s="32" t="str">
        <f t="shared" si="133"/>
        <v/>
      </c>
      <c r="BY168" s="32" t="str">
        <f t="shared" si="134"/>
        <v/>
      </c>
      <c r="BZ168" s="32" t="str">
        <f t="shared" si="135"/>
        <v/>
      </c>
      <c r="CA168" s="32" t="str">
        <f t="shared" si="136"/>
        <v/>
      </c>
      <c r="CB168" s="32" t="str">
        <f t="shared" si="137"/>
        <v/>
      </c>
      <c r="CC168" s="32" t="str">
        <f t="shared" si="138"/>
        <v/>
      </c>
      <c r="CD168" s="32" t="str">
        <f t="shared" si="139"/>
        <v/>
      </c>
      <c r="CE168" s="32" t="str">
        <f t="shared" si="140"/>
        <v/>
      </c>
      <c r="CF168" s="32" t="str">
        <f t="shared" si="141"/>
        <v/>
      </c>
      <c r="CG168" s="32" t="str">
        <f t="shared" si="142"/>
        <v/>
      </c>
      <c r="CH168" s="32" t="str">
        <f t="shared" si="143"/>
        <v/>
      </c>
      <c r="CI168" s="32" t="str">
        <f t="shared" si="144"/>
        <v/>
      </c>
      <c r="CJ168" s="32" t="str">
        <f t="shared" si="145"/>
        <v/>
      </c>
    </row>
    <row r="169" spans="1:88" x14ac:dyDescent="0.2">
      <c r="A169" s="32">
        <f t="shared" ref="A169:A197" si="146">G118</f>
        <v>45748</v>
      </c>
      <c r="B169" s="32">
        <f t="shared" si="59"/>
        <v>45581</v>
      </c>
      <c r="C169" s="32">
        <f t="shared" si="60"/>
        <v>45748</v>
      </c>
      <c r="D169" s="32">
        <f t="shared" si="61"/>
        <v>45658</v>
      </c>
      <c r="E169" s="32">
        <f t="shared" si="62"/>
        <v>45748</v>
      </c>
      <c r="F169" s="32">
        <f t="shared" si="63"/>
        <v>45748</v>
      </c>
      <c r="G169" s="32" t="str">
        <f t="shared" si="64"/>
        <v/>
      </c>
      <c r="H169" s="32">
        <f t="shared" si="65"/>
        <v>45763</v>
      </c>
      <c r="I169" s="32" t="str">
        <f t="shared" si="66"/>
        <v/>
      </c>
      <c r="J169" s="32">
        <f t="shared" si="67"/>
        <v>45839</v>
      </c>
      <c r="K169" s="32" t="str">
        <f t="shared" si="68"/>
        <v/>
      </c>
      <c r="L169" s="32">
        <f t="shared" si="69"/>
        <v>45931</v>
      </c>
      <c r="M169" s="32" t="str">
        <f t="shared" si="70"/>
        <v/>
      </c>
      <c r="N169" s="32">
        <f t="shared" si="71"/>
        <v>45946</v>
      </c>
      <c r="O169" s="32" t="str">
        <f t="shared" si="72"/>
        <v/>
      </c>
      <c r="P169" s="32">
        <f t="shared" si="73"/>
        <v>46023</v>
      </c>
      <c r="Q169" s="32" t="str">
        <f t="shared" si="74"/>
        <v/>
      </c>
      <c r="R169" s="32">
        <f t="shared" si="75"/>
        <v>46113</v>
      </c>
      <c r="S169" s="32" t="str">
        <f t="shared" si="76"/>
        <v/>
      </c>
      <c r="T169" s="32">
        <f t="shared" si="77"/>
        <v>46128</v>
      </c>
      <c r="U169" s="32" t="str">
        <f t="shared" si="78"/>
        <v/>
      </c>
      <c r="V169" s="32">
        <f t="shared" si="79"/>
        <v>46204</v>
      </c>
      <c r="W169" s="32" t="str">
        <f t="shared" si="80"/>
        <v/>
      </c>
      <c r="X169" s="32">
        <f t="shared" si="81"/>
        <v>46296</v>
      </c>
      <c r="Y169" s="32" t="str">
        <f t="shared" si="82"/>
        <v/>
      </c>
      <c r="Z169" s="32">
        <f t="shared" si="83"/>
        <v>46311</v>
      </c>
      <c r="AA169" s="32" t="str">
        <f t="shared" si="84"/>
        <v/>
      </c>
      <c r="AB169" s="32">
        <f t="shared" si="85"/>
        <v>46388</v>
      </c>
      <c r="AC169" s="32" t="str">
        <f t="shared" si="86"/>
        <v/>
      </c>
      <c r="AD169" s="32">
        <f t="shared" si="87"/>
        <v>46478</v>
      </c>
      <c r="AE169" s="32" t="str">
        <f t="shared" si="88"/>
        <v/>
      </c>
      <c r="AF169" s="32">
        <f t="shared" si="89"/>
        <v>46493</v>
      </c>
      <c r="AG169" s="32" t="str">
        <f t="shared" si="90"/>
        <v/>
      </c>
      <c r="AH169" s="32">
        <f t="shared" si="91"/>
        <v>46569</v>
      </c>
      <c r="AI169" s="32" t="str">
        <f t="shared" si="92"/>
        <v/>
      </c>
      <c r="AJ169" s="32">
        <f t="shared" si="93"/>
        <v>46661</v>
      </c>
      <c r="AK169" s="32" t="str">
        <f t="shared" si="94"/>
        <v/>
      </c>
      <c r="AL169" s="32">
        <f t="shared" si="95"/>
        <v>46676</v>
      </c>
      <c r="AM169" s="32" t="str">
        <f t="shared" si="96"/>
        <v/>
      </c>
      <c r="AN169" s="32">
        <f t="shared" si="97"/>
        <v>46753</v>
      </c>
      <c r="AO169" s="32" t="str">
        <f t="shared" si="98"/>
        <v/>
      </c>
      <c r="AP169" s="32">
        <f t="shared" si="99"/>
        <v>46844</v>
      </c>
      <c r="AQ169" s="32" t="str">
        <f t="shared" si="100"/>
        <v/>
      </c>
      <c r="AR169" s="32">
        <f t="shared" si="101"/>
        <v>46859</v>
      </c>
      <c r="AS169" s="32" t="str">
        <f t="shared" si="102"/>
        <v/>
      </c>
      <c r="AT169" s="32">
        <f t="shared" si="103"/>
        <v>46935</v>
      </c>
      <c r="AU169" s="32" t="str">
        <f t="shared" si="104"/>
        <v/>
      </c>
      <c r="AV169" s="32">
        <f t="shared" si="105"/>
        <v>47027</v>
      </c>
      <c r="AW169" s="32" t="str">
        <f t="shared" si="106"/>
        <v/>
      </c>
      <c r="AX169" s="32">
        <f t="shared" si="107"/>
        <v>47042</v>
      </c>
      <c r="AY169" s="32" t="str">
        <f t="shared" si="108"/>
        <v/>
      </c>
      <c r="AZ169" s="32">
        <f t="shared" si="109"/>
        <v>47119</v>
      </c>
      <c r="BA169" s="32" t="str">
        <f t="shared" si="110"/>
        <v/>
      </c>
      <c r="BB169" s="32">
        <f t="shared" si="111"/>
        <v>47209</v>
      </c>
      <c r="BC169" s="32" t="str">
        <f t="shared" si="112"/>
        <v/>
      </c>
      <c r="BD169" s="32">
        <f t="shared" si="113"/>
        <v>47224</v>
      </c>
      <c r="BE169" s="32" t="str">
        <f t="shared" si="114"/>
        <v/>
      </c>
      <c r="BF169" s="32">
        <f t="shared" si="115"/>
        <v>47300</v>
      </c>
      <c r="BG169" s="32" t="str">
        <f t="shared" si="116"/>
        <v/>
      </c>
      <c r="BH169" s="32">
        <f t="shared" si="117"/>
        <v>47392</v>
      </c>
      <c r="BI169" s="32" t="str">
        <f t="shared" si="118"/>
        <v/>
      </c>
      <c r="BJ169" s="32">
        <f t="shared" si="119"/>
        <v>47407</v>
      </c>
      <c r="BK169" s="32" t="str">
        <f t="shared" si="120"/>
        <v/>
      </c>
      <c r="BL169" s="32" t="str">
        <f t="shared" si="121"/>
        <v/>
      </c>
      <c r="BM169" s="32" t="str">
        <f t="shared" si="122"/>
        <v/>
      </c>
      <c r="BN169" s="32" t="str">
        <f t="shared" si="123"/>
        <v/>
      </c>
      <c r="BO169" s="32" t="str">
        <f t="shared" si="124"/>
        <v/>
      </c>
      <c r="BP169" s="32" t="str">
        <f t="shared" si="125"/>
        <v/>
      </c>
      <c r="BQ169" s="32" t="str">
        <f t="shared" si="126"/>
        <v/>
      </c>
      <c r="BR169" s="32" t="str">
        <f t="shared" si="127"/>
        <v/>
      </c>
      <c r="BS169" s="32" t="str">
        <f t="shared" si="128"/>
        <v/>
      </c>
      <c r="BT169" s="32" t="str">
        <f t="shared" si="129"/>
        <v/>
      </c>
      <c r="BU169" s="32" t="str">
        <f t="shared" si="130"/>
        <v/>
      </c>
      <c r="BV169" s="32" t="str">
        <f t="shared" si="131"/>
        <v/>
      </c>
      <c r="BW169" s="32" t="str">
        <f t="shared" si="132"/>
        <v/>
      </c>
      <c r="BX169" s="32" t="str">
        <f t="shared" si="133"/>
        <v/>
      </c>
      <c r="BY169" s="32" t="str">
        <f t="shared" si="134"/>
        <v/>
      </c>
      <c r="BZ169" s="32" t="str">
        <f t="shared" si="135"/>
        <v/>
      </c>
      <c r="CA169" s="32" t="str">
        <f t="shared" si="136"/>
        <v/>
      </c>
      <c r="CB169" s="32" t="str">
        <f t="shared" si="137"/>
        <v/>
      </c>
      <c r="CC169" s="32" t="str">
        <f t="shared" si="138"/>
        <v/>
      </c>
      <c r="CD169" s="32" t="str">
        <f t="shared" si="139"/>
        <v/>
      </c>
      <c r="CE169" s="32" t="str">
        <f t="shared" si="140"/>
        <v/>
      </c>
      <c r="CF169" s="32" t="str">
        <f t="shared" si="141"/>
        <v/>
      </c>
      <c r="CG169" s="32" t="str">
        <f t="shared" si="142"/>
        <v/>
      </c>
      <c r="CH169" s="32" t="str">
        <f t="shared" si="143"/>
        <v/>
      </c>
      <c r="CI169" s="32" t="str">
        <f t="shared" si="144"/>
        <v/>
      </c>
      <c r="CJ169" s="32" t="str">
        <f t="shared" si="145"/>
        <v/>
      </c>
    </row>
    <row r="170" spans="1:88" x14ac:dyDescent="0.2">
      <c r="A170" s="32">
        <f t="shared" si="146"/>
        <v>45839</v>
      </c>
      <c r="B170" s="32">
        <f t="shared" si="59"/>
        <v>45581</v>
      </c>
      <c r="C170" s="32">
        <f t="shared" si="60"/>
        <v>45839</v>
      </c>
      <c r="D170" s="32">
        <f t="shared" si="61"/>
        <v>45658</v>
      </c>
      <c r="E170" s="32">
        <f t="shared" si="62"/>
        <v>45839</v>
      </c>
      <c r="F170" s="32">
        <f t="shared" si="63"/>
        <v>45748</v>
      </c>
      <c r="G170" s="32">
        <f t="shared" si="64"/>
        <v>45839</v>
      </c>
      <c r="H170" s="32">
        <f t="shared" si="65"/>
        <v>45763</v>
      </c>
      <c r="I170" s="32">
        <f t="shared" si="66"/>
        <v>45839</v>
      </c>
      <c r="J170" s="32">
        <f t="shared" si="67"/>
        <v>45839</v>
      </c>
      <c r="K170" s="32" t="str">
        <f t="shared" si="68"/>
        <v/>
      </c>
      <c r="L170" s="32">
        <f t="shared" si="69"/>
        <v>45931</v>
      </c>
      <c r="M170" s="32" t="str">
        <f t="shared" si="70"/>
        <v/>
      </c>
      <c r="N170" s="32">
        <f t="shared" si="71"/>
        <v>45946</v>
      </c>
      <c r="O170" s="32" t="str">
        <f t="shared" si="72"/>
        <v/>
      </c>
      <c r="P170" s="32">
        <f t="shared" si="73"/>
        <v>46023</v>
      </c>
      <c r="Q170" s="32" t="str">
        <f t="shared" si="74"/>
        <v/>
      </c>
      <c r="R170" s="32">
        <f t="shared" si="75"/>
        <v>46113</v>
      </c>
      <c r="S170" s="32" t="str">
        <f t="shared" si="76"/>
        <v/>
      </c>
      <c r="T170" s="32">
        <f t="shared" si="77"/>
        <v>46128</v>
      </c>
      <c r="U170" s="32" t="str">
        <f t="shared" si="78"/>
        <v/>
      </c>
      <c r="V170" s="32">
        <f t="shared" si="79"/>
        <v>46204</v>
      </c>
      <c r="W170" s="32" t="str">
        <f t="shared" si="80"/>
        <v/>
      </c>
      <c r="X170" s="32">
        <f t="shared" si="81"/>
        <v>46296</v>
      </c>
      <c r="Y170" s="32" t="str">
        <f t="shared" si="82"/>
        <v/>
      </c>
      <c r="Z170" s="32">
        <f t="shared" si="83"/>
        <v>46311</v>
      </c>
      <c r="AA170" s="32" t="str">
        <f t="shared" si="84"/>
        <v/>
      </c>
      <c r="AB170" s="32">
        <f t="shared" si="85"/>
        <v>46388</v>
      </c>
      <c r="AC170" s="32" t="str">
        <f t="shared" si="86"/>
        <v/>
      </c>
      <c r="AD170" s="32">
        <f t="shared" si="87"/>
        <v>46478</v>
      </c>
      <c r="AE170" s="32" t="str">
        <f t="shared" si="88"/>
        <v/>
      </c>
      <c r="AF170" s="32">
        <f t="shared" si="89"/>
        <v>46493</v>
      </c>
      <c r="AG170" s="32" t="str">
        <f t="shared" si="90"/>
        <v/>
      </c>
      <c r="AH170" s="32">
        <f t="shared" si="91"/>
        <v>46569</v>
      </c>
      <c r="AI170" s="32" t="str">
        <f t="shared" si="92"/>
        <v/>
      </c>
      <c r="AJ170" s="32">
        <f t="shared" si="93"/>
        <v>46661</v>
      </c>
      <c r="AK170" s="32" t="str">
        <f t="shared" si="94"/>
        <v/>
      </c>
      <c r="AL170" s="32">
        <f t="shared" si="95"/>
        <v>46676</v>
      </c>
      <c r="AM170" s="32" t="str">
        <f t="shared" si="96"/>
        <v/>
      </c>
      <c r="AN170" s="32">
        <f t="shared" si="97"/>
        <v>46753</v>
      </c>
      <c r="AO170" s="32" t="str">
        <f t="shared" si="98"/>
        <v/>
      </c>
      <c r="AP170" s="32">
        <f t="shared" si="99"/>
        <v>46844</v>
      </c>
      <c r="AQ170" s="32" t="str">
        <f t="shared" si="100"/>
        <v/>
      </c>
      <c r="AR170" s="32">
        <f t="shared" si="101"/>
        <v>46859</v>
      </c>
      <c r="AS170" s="32" t="str">
        <f t="shared" si="102"/>
        <v/>
      </c>
      <c r="AT170" s="32">
        <f t="shared" si="103"/>
        <v>46935</v>
      </c>
      <c r="AU170" s="32" t="str">
        <f t="shared" si="104"/>
        <v/>
      </c>
      <c r="AV170" s="32">
        <f t="shared" si="105"/>
        <v>47027</v>
      </c>
      <c r="AW170" s="32" t="str">
        <f t="shared" si="106"/>
        <v/>
      </c>
      <c r="AX170" s="32">
        <f t="shared" si="107"/>
        <v>47042</v>
      </c>
      <c r="AY170" s="32" t="str">
        <f t="shared" si="108"/>
        <v/>
      </c>
      <c r="AZ170" s="32">
        <f t="shared" si="109"/>
        <v>47119</v>
      </c>
      <c r="BA170" s="32" t="str">
        <f t="shared" si="110"/>
        <v/>
      </c>
      <c r="BB170" s="32">
        <f t="shared" si="111"/>
        <v>47209</v>
      </c>
      <c r="BC170" s="32" t="str">
        <f t="shared" si="112"/>
        <v/>
      </c>
      <c r="BD170" s="32">
        <f t="shared" si="113"/>
        <v>47224</v>
      </c>
      <c r="BE170" s="32" t="str">
        <f t="shared" si="114"/>
        <v/>
      </c>
      <c r="BF170" s="32">
        <f t="shared" si="115"/>
        <v>47300</v>
      </c>
      <c r="BG170" s="32" t="str">
        <f t="shared" si="116"/>
        <v/>
      </c>
      <c r="BH170" s="32">
        <f t="shared" si="117"/>
        <v>47392</v>
      </c>
      <c r="BI170" s="32" t="str">
        <f t="shared" si="118"/>
        <v/>
      </c>
      <c r="BJ170" s="32">
        <f t="shared" si="119"/>
        <v>47407</v>
      </c>
      <c r="BK170" s="32" t="str">
        <f t="shared" si="120"/>
        <v/>
      </c>
      <c r="BL170" s="32" t="str">
        <f t="shared" si="121"/>
        <v/>
      </c>
      <c r="BM170" s="32" t="str">
        <f t="shared" si="122"/>
        <v/>
      </c>
      <c r="BN170" s="32" t="str">
        <f t="shared" si="123"/>
        <v/>
      </c>
      <c r="BO170" s="32" t="str">
        <f t="shared" si="124"/>
        <v/>
      </c>
      <c r="BP170" s="32" t="str">
        <f t="shared" si="125"/>
        <v/>
      </c>
      <c r="BQ170" s="32" t="str">
        <f t="shared" si="126"/>
        <v/>
      </c>
      <c r="BR170" s="32" t="str">
        <f t="shared" si="127"/>
        <v/>
      </c>
      <c r="BS170" s="32" t="str">
        <f t="shared" si="128"/>
        <v/>
      </c>
      <c r="BT170" s="32" t="str">
        <f t="shared" si="129"/>
        <v/>
      </c>
      <c r="BU170" s="32" t="str">
        <f t="shared" si="130"/>
        <v/>
      </c>
      <c r="BV170" s="32" t="str">
        <f t="shared" si="131"/>
        <v/>
      </c>
      <c r="BW170" s="32" t="str">
        <f t="shared" si="132"/>
        <v/>
      </c>
      <c r="BX170" s="32" t="str">
        <f t="shared" si="133"/>
        <v/>
      </c>
      <c r="BY170" s="32" t="str">
        <f t="shared" si="134"/>
        <v/>
      </c>
      <c r="BZ170" s="32" t="str">
        <f t="shared" si="135"/>
        <v/>
      </c>
      <c r="CA170" s="32" t="str">
        <f t="shared" si="136"/>
        <v/>
      </c>
      <c r="CB170" s="32" t="str">
        <f t="shared" si="137"/>
        <v/>
      </c>
      <c r="CC170" s="32" t="str">
        <f t="shared" si="138"/>
        <v/>
      </c>
      <c r="CD170" s="32" t="str">
        <f t="shared" si="139"/>
        <v/>
      </c>
      <c r="CE170" s="32" t="str">
        <f t="shared" si="140"/>
        <v/>
      </c>
      <c r="CF170" s="32" t="str">
        <f t="shared" si="141"/>
        <v/>
      </c>
      <c r="CG170" s="32" t="str">
        <f t="shared" si="142"/>
        <v/>
      </c>
      <c r="CH170" s="32" t="str">
        <f t="shared" si="143"/>
        <v/>
      </c>
      <c r="CI170" s="32" t="str">
        <f t="shared" si="144"/>
        <v/>
      </c>
      <c r="CJ170" s="32" t="str">
        <f t="shared" si="145"/>
        <v/>
      </c>
    </row>
    <row r="171" spans="1:88" x14ac:dyDescent="0.2">
      <c r="A171" s="32">
        <f t="shared" si="146"/>
        <v>45931</v>
      </c>
      <c r="B171" s="32">
        <f t="shared" si="59"/>
        <v>45581</v>
      </c>
      <c r="C171" s="32">
        <f t="shared" si="60"/>
        <v>45931</v>
      </c>
      <c r="D171" s="32">
        <f t="shared" si="61"/>
        <v>45658</v>
      </c>
      <c r="E171" s="32">
        <f t="shared" si="62"/>
        <v>45931</v>
      </c>
      <c r="F171" s="32">
        <f t="shared" si="63"/>
        <v>45748</v>
      </c>
      <c r="G171" s="32">
        <f t="shared" si="64"/>
        <v>45931</v>
      </c>
      <c r="H171" s="32">
        <f t="shared" si="65"/>
        <v>45763</v>
      </c>
      <c r="I171" s="32">
        <f t="shared" si="66"/>
        <v>45931</v>
      </c>
      <c r="J171" s="32">
        <f t="shared" si="67"/>
        <v>45839</v>
      </c>
      <c r="K171" s="32">
        <f t="shared" si="68"/>
        <v>45931</v>
      </c>
      <c r="L171" s="32">
        <f t="shared" si="69"/>
        <v>45931</v>
      </c>
      <c r="M171" s="32" t="str">
        <f t="shared" si="70"/>
        <v/>
      </c>
      <c r="N171" s="32">
        <f t="shared" si="71"/>
        <v>45946</v>
      </c>
      <c r="O171" s="32" t="str">
        <f t="shared" si="72"/>
        <v/>
      </c>
      <c r="P171" s="32">
        <f t="shared" si="73"/>
        <v>46023</v>
      </c>
      <c r="Q171" s="32" t="str">
        <f t="shared" si="74"/>
        <v/>
      </c>
      <c r="R171" s="32">
        <f t="shared" si="75"/>
        <v>46113</v>
      </c>
      <c r="S171" s="32" t="str">
        <f t="shared" si="76"/>
        <v/>
      </c>
      <c r="T171" s="32">
        <f t="shared" si="77"/>
        <v>46128</v>
      </c>
      <c r="U171" s="32" t="str">
        <f t="shared" si="78"/>
        <v/>
      </c>
      <c r="V171" s="32">
        <f t="shared" si="79"/>
        <v>46204</v>
      </c>
      <c r="W171" s="32" t="str">
        <f t="shared" si="80"/>
        <v/>
      </c>
      <c r="X171" s="32">
        <f t="shared" si="81"/>
        <v>46296</v>
      </c>
      <c r="Y171" s="32" t="str">
        <f t="shared" si="82"/>
        <v/>
      </c>
      <c r="Z171" s="32">
        <f t="shared" si="83"/>
        <v>46311</v>
      </c>
      <c r="AA171" s="32" t="str">
        <f t="shared" si="84"/>
        <v/>
      </c>
      <c r="AB171" s="32">
        <f t="shared" si="85"/>
        <v>46388</v>
      </c>
      <c r="AC171" s="32" t="str">
        <f t="shared" si="86"/>
        <v/>
      </c>
      <c r="AD171" s="32">
        <f t="shared" si="87"/>
        <v>46478</v>
      </c>
      <c r="AE171" s="32" t="str">
        <f t="shared" si="88"/>
        <v/>
      </c>
      <c r="AF171" s="32">
        <f t="shared" si="89"/>
        <v>46493</v>
      </c>
      <c r="AG171" s="32" t="str">
        <f t="shared" si="90"/>
        <v/>
      </c>
      <c r="AH171" s="32">
        <f t="shared" si="91"/>
        <v>46569</v>
      </c>
      <c r="AI171" s="32" t="str">
        <f t="shared" si="92"/>
        <v/>
      </c>
      <c r="AJ171" s="32">
        <f t="shared" si="93"/>
        <v>46661</v>
      </c>
      <c r="AK171" s="32" t="str">
        <f t="shared" si="94"/>
        <v/>
      </c>
      <c r="AL171" s="32">
        <f t="shared" si="95"/>
        <v>46676</v>
      </c>
      <c r="AM171" s="32" t="str">
        <f t="shared" si="96"/>
        <v/>
      </c>
      <c r="AN171" s="32">
        <f t="shared" si="97"/>
        <v>46753</v>
      </c>
      <c r="AO171" s="32" t="str">
        <f t="shared" si="98"/>
        <v/>
      </c>
      <c r="AP171" s="32">
        <f t="shared" si="99"/>
        <v>46844</v>
      </c>
      <c r="AQ171" s="32" t="str">
        <f t="shared" si="100"/>
        <v/>
      </c>
      <c r="AR171" s="32">
        <f t="shared" si="101"/>
        <v>46859</v>
      </c>
      <c r="AS171" s="32" t="str">
        <f t="shared" si="102"/>
        <v/>
      </c>
      <c r="AT171" s="32">
        <f t="shared" si="103"/>
        <v>46935</v>
      </c>
      <c r="AU171" s="32" t="str">
        <f t="shared" si="104"/>
        <v/>
      </c>
      <c r="AV171" s="32">
        <f t="shared" si="105"/>
        <v>47027</v>
      </c>
      <c r="AW171" s="32" t="str">
        <f t="shared" si="106"/>
        <v/>
      </c>
      <c r="AX171" s="32">
        <f t="shared" si="107"/>
        <v>47042</v>
      </c>
      <c r="AY171" s="32" t="str">
        <f t="shared" si="108"/>
        <v/>
      </c>
      <c r="AZ171" s="32">
        <f t="shared" si="109"/>
        <v>47119</v>
      </c>
      <c r="BA171" s="32" t="str">
        <f t="shared" si="110"/>
        <v/>
      </c>
      <c r="BB171" s="32">
        <f t="shared" si="111"/>
        <v>47209</v>
      </c>
      <c r="BC171" s="32" t="str">
        <f t="shared" si="112"/>
        <v/>
      </c>
      <c r="BD171" s="32">
        <f t="shared" si="113"/>
        <v>47224</v>
      </c>
      <c r="BE171" s="32" t="str">
        <f t="shared" si="114"/>
        <v/>
      </c>
      <c r="BF171" s="32">
        <f t="shared" si="115"/>
        <v>47300</v>
      </c>
      <c r="BG171" s="32" t="str">
        <f t="shared" si="116"/>
        <v/>
      </c>
      <c r="BH171" s="32">
        <f t="shared" si="117"/>
        <v>47392</v>
      </c>
      <c r="BI171" s="32" t="str">
        <f t="shared" si="118"/>
        <v/>
      </c>
      <c r="BJ171" s="32">
        <f t="shared" si="119"/>
        <v>47407</v>
      </c>
      <c r="BK171" s="32" t="str">
        <f t="shared" si="120"/>
        <v/>
      </c>
      <c r="BL171" s="32" t="str">
        <f t="shared" si="121"/>
        <v/>
      </c>
      <c r="BM171" s="32" t="str">
        <f t="shared" si="122"/>
        <v/>
      </c>
      <c r="BN171" s="32" t="str">
        <f t="shared" si="123"/>
        <v/>
      </c>
      <c r="BO171" s="32" t="str">
        <f t="shared" si="124"/>
        <v/>
      </c>
      <c r="BP171" s="32" t="str">
        <f t="shared" si="125"/>
        <v/>
      </c>
      <c r="BQ171" s="32" t="str">
        <f t="shared" si="126"/>
        <v/>
      </c>
      <c r="BR171" s="32" t="str">
        <f t="shared" si="127"/>
        <v/>
      </c>
      <c r="BS171" s="32" t="str">
        <f t="shared" si="128"/>
        <v/>
      </c>
      <c r="BT171" s="32" t="str">
        <f t="shared" si="129"/>
        <v/>
      </c>
      <c r="BU171" s="32" t="str">
        <f t="shared" si="130"/>
        <v/>
      </c>
      <c r="BV171" s="32" t="str">
        <f t="shared" si="131"/>
        <v/>
      </c>
      <c r="BW171" s="32" t="str">
        <f t="shared" si="132"/>
        <v/>
      </c>
      <c r="BX171" s="32" t="str">
        <f t="shared" si="133"/>
        <v/>
      </c>
      <c r="BY171" s="32" t="str">
        <f t="shared" si="134"/>
        <v/>
      </c>
      <c r="BZ171" s="32" t="str">
        <f t="shared" si="135"/>
        <v/>
      </c>
      <c r="CA171" s="32" t="str">
        <f t="shared" si="136"/>
        <v/>
      </c>
      <c r="CB171" s="32" t="str">
        <f t="shared" si="137"/>
        <v/>
      </c>
      <c r="CC171" s="32" t="str">
        <f t="shared" si="138"/>
        <v/>
      </c>
      <c r="CD171" s="32" t="str">
        <f t="shared" si="139"/>
        <v/>
      </c>
      <c r="CE171" s="32" t="str">
        <f t="shared" si="140"/>
        <v/>
      </c>
      <c r="CF171" s="32" t="str">
        <f t="shared" si="141"/>
        <v/>
      </c>
      <c r="CG171" s="32" t="str">
        <f t="shared" si="142"/>
        <v/>
      </c>
      <c r="CH171" s="32" t="str">
        <f t="shared" si="143"/>
        <v/>
      </c>
      <c r="CI171" s="32" t="str">
        <f t="shared" si="144"/>
        <v/>
      </c>
      <c r="CJ171" s="32" t="str">
        <f t="shared" si="145"/>
        <v/>
      </c>
    </row>
    <row r="172" spans="1:88" x14ac:dyDescent="0.2">
      <c r="A172" s="32">
        <f t="shared" si="146"/>
        <v>46023</v>
      </c>
      <c r="B172" s="32">
        <f t="shared" si="59"/>
        <v>45581</v>
      </c>
      <c r="C172" s="32">
        <f t="shared" si="60"/>
        <v>46023</v>
      </c>
      <c r="D172" s="32">
        <f t="shared" si="61"/>
        <v>45658</v>
      </c>
      <c r="E172" s="32">
        <f t="shared" si="62"/>
        <v>46023</v>
      </c>
      <c r="F172" s="32">
        <f t="shared" si="63"/>
        <v>45748</v>
      </c>
      <c r="G172" s="32">
        <f t="shared" si="64"/>
        <v>46023</v>
      </c>
      <c r="H172" s="32">
        <f t="shared" si="65"/>
        <v>45763</v>
      </c>
      <c r="I172" s="32">
        <f t="shared" si="66"/>
        <v>46023</v>
      </c>
      <c r="J172" s="32">
        <f t="shared" si="67"/>
        <v>45839</v>
      </c>
      <c r="K172" s="32">
        <f t="shared" si="68"/>
        <v>46023</v>
      </c>
      <c r="L172" s="32">
        <f t="shared" si="69"/>
        <v>45931</v>
      </c>
      <c r="M172" s="32">
        <f t="shared" si="70"/>
        <v>46023</v>
      </c>
      <c r="N172" s="32">
        <f t="shared" si="71"/>
        <v>45946</v>
      </c>
      <c r="O172" s="32">
        <f t="shared" si="72"/>
        <v>46023</v>
      </c>
      <c r="P172" s="32">
        <f t="shared" si="73"/>
        <v>46023</v>
      </c>
      <c r="Q172" s="32" t="str">
        <f t="shared" si="74"/>
        <v/>
      </c>
      <c r="R172" s="32">
        <f t="shared" si="75"/>
        <v>46113</v>
      </c>
      <c r="S172" s="32" t="str">
        <f t="shared" si="76"/>
        <v/>
      </c>
      <c r="T172" s="32">
        <f t="shared" si="77"/>
        <v>46128</v>
      </c>
      <c r="U172" s="32" t="str">
        <f t="shared" si="78"/>
        <v/>
      </c>
      <c r="V172" s="32">
        <f t="shared" si="79"/>
        <v>46204</v>
      </c>
      <c r="W172" s="32" t="str">
        <f t="shared" si="80"/>
        <v/>
      </c>
      <c r="X172" s="32">
        <f t="shared" si="81"/>
        <v>46296</v>
      </c>
      <c r="Y172" s="32" t="str">
        <f t="shared" si="82"/>
        <v/>
      </c>
      <c r="Z172" s="32">
        <f t="shared" si="83"/>
        <v>46311</v>
      </c>
      <c r="AA172" s="32" t="str">
        <f t="shared" si="84"/>
        <v/>
      </c>
      <c r="AB172" s="32">
        <f t="shared" si="85"/>
        <v>46388</v>
      </c>
      <c r="AC172" s="32" t="str">
        <f t="shared" si="86"/>
        <v/>
      </c>
      <c r="AD172" s="32">
        <f t="shared" si="87"/>
        <v>46478</v>
      </c>
      <c r="AE172" s="32" t="str">
        <f t="shared" si="88"/>
        <v/>
      </c>
      <c r="AF172" s="32">
        <f t="shared" si="89"/>
        <v>46493</v>
      </c>
      <c r="AG172" s="32" t="str">
        <f t="shared" si="90"/>
        <v/>
      </c>
      <c r="AH172" s="32">
        <f t="shared" si="91"/>
        <v>46569</v>
      </c>
      <c r="AI172" s="32" t="str">
        <f t="shared" si="92"/>
        <v/>
      </c>
      <c r="AJ172" s="32">
        <f t="shared" si="93"/>
        <v>46661</v>
      </c>
      <c r="AK172" s="32" t="str">
        <f t="shared" si="94"/>
        <v/>
      </c>
      <c r="AL172" s="32">
        <f t="shared" si="95"/>
        <v>46676</v>
      </c>
      <c r="AM172" s="32" t="str">
        <f t="shared" si="96"/>
        <v/>
      </c>
      <c r="AN172" s="32">
        <f t="shared" si="97"/>
        <v>46753</v>
      </c>
      <c r="AO172" s="32" t="str">
        <f t="shared" si="98"/>
        <v/>
      </c>
      <c r="AP172" s="32">
        <f t="shared" si="99"/>
        <v>46844</v>
      </c>
      <c r="AQ172" s="32" t="str">
        <f t="shared" si="100"/>
        <v/>
      </c>
      <c r="AR172" s="32">
        <f t="shared" si="101"/>
        <v>46859</v>
      </c>
      <c r="AS172" s="32" t="str">
        <f t="shared" si="102"/>
        <v/>
      </c>
      <c r="AT172" s="32">
        <f t="shared" si="103"/>
        <v>46935</v>
      </c>
      <c r="AU172" s="32" t="str">
        <f t="shared" si="104"/>
        <v/>
      </c>
      <c r="AV172" s="32">
        <f t="shared" si="105"/>
        <v>47027</v>
      </c>
      <c r="AW172" s="32" t="str">
        <f t="shared" si="106"/>
        <v/>
      </c>
      <c r="AX172" s="32">
        <f t="shared" si="107"/>
        <v>47042</v>
      </c>
      <c r="AY172" s="32" t="str">
        <f t="shared" si="108"/>
        <v/>
      </c>
      <c r="AZ172" s="32">
        <f t="shared" si="109"/>
        <v>47119</v>
      </c>
      <c r="BA172" s="32" t="str">
        <f t="shared" si="110"/>
        <v/>
      </c>
      <c r="BB172" s="32">
        <f t="shared" si="111"/>
        <v>47209</v>
      </c>
      <c r="BC172" s="32" t="str">
        <f t="shared" si="112"/>
        <v/>
      </c>
      <c r="BD172" s="32">
        <f t="shared" si="113"/>
        <v>47224</v>
      </c>
      <c r="BE172" s="32" t="str">
        <f t="shared" si="114"/>
        <v/>
      </c>
      <c r="BF172" s="32">
        <f t="shared" si="115"/>
        <v>47300</v>
      </c>
      <c r="BG172" s="32" t="str">
        <f t="shared" si="116"/>
        <v/>
      </c>
      <c r="BH172" s="32">
        <f t="shared" si="117"/>
        <v>47392</v>
      </c>
      <c r="BI172" s="32" t="str">
        <f t="shared" si="118"/>
        <v/>
      </c>
      <c r="BJ172" s="32">
        <f t="shared" si="119"/>
        <v>47407</v>
      </c>
      <c r="BK172" s="32" t="str">
        <f t="shared" si="120"/>
        <v/>
      </c>
      <c r="BL172" s="32" t="str">
        <f t="shared" si="121"/>
        <v/>
      </c>
      <c r="BM172" s="32" t="str">
        <f t="shared" si="122"/>
        <v/>
      </c>
      <c r="BN172" s="32" t="str">
        <f t="shared" si="123"/>
        <v/>
      </c>
      <c r="BO172" s="32" t="str">
        <f t="shared" si="124"/>
        <v/>
      </c>
      <c r="BP172" s="32" t="str">
        <f t="shared" si="125"/>
        <v/>
      </c>
      <c r="BQ172" s="32" t="str">
        <f t="shared" si="126"/>
        <v/>
      </c>
      <c r="BR172" s="32" t="str">
        <f t="shared" si="127"/>
        <v/>
      </c>
      <c r="BS172" s="32" t="str">
        <f t="shared" si="128"/>
        <v/>
      </c>
      <c r="BT172" s="32" t="str">
        <f t="shared" si="129"/>
        <v/>
      </c>
      <c r="BU172" s="32" t="str">
        <f t="shared" si="130"/>
        <v/>
      </c>
      <c r="BV172" s="32" t="str">
        <f t="shared" si="131"/>
        <v/>
      </c>
      <c r="BW172" s="32" t="str">
        <f t="shared" si="132"/>
        <v/>
      </c>
      <c r="BX172" s="32" t="str">
        <f t="shared" si="133"/>
        <v/>
      </c>
      <c r="BY172" s="32" t="str">
        <f t="shared" si="134"/>
        <v/>
      </c>
      <c r="BZ172" s="32" t="str">
        <f t="shared" si="135"/>
        <v/>
      </c>
      <c r="CA172" s="32" t="str">
        <f t="shared" si="136"/>
        <v/>
      </c>
      <c r="CB172" s="32" t="str">
        <f t="shared" si="137"/>
        <v/>
      </c>
      <c r="CC172" s="32" t="str">
        <f t="shared" si="138"/>
        <v/>
      </c>
      <c r="CD172" s="32" t="str">
        <f t="shared" si="139"/>
        <v/>
      </c>
      <c r="CE172" s="32" t="str">
        <f t="shared" si="140"/>
        <v/>
      </c>
      <c r="CF172" s="32" t="str">
        <f t="shared" si="141"/>
        <v/>
      </c>
      <c r="CG172" s="32" t="str">
        <f t="shared" si="142"/>
        <v/>
      </c>
      <c r="CH172" s="32" t="str">
        <f t="shared" si="143"/>
        <v/>
      </c>
      <c r="CI172" s="32" t="str">
        <f t="shared" si="144"/>
        <v/>
      </c>
      <c r="CJ172" s="32" t="str">
        <f t="shared" si="145"/>
        <v/>
      </c>
    </row>
    <row r="173" spans="1:88" x14ac:dyDescent="0.2">
      <c r="A173" s="32">
        <f t="shared" si="146"/>
        <v>46113</v>
      </c>
      <c r="B173" s="32">
        <f t="shared" si="59"/>
        <v>45581</v>
      </c>
      <c r="C173" s="32">
        <f t="shared" si="60"/>
        <v>46113</v>
      </c>
      <c r="D173" s="32">
        <f t="shared" si="61"/>
        <v>45658</v>
      </c>
      <c r="E173" s="32">
        <f t="shared" si="62"/>
        <v>46113</v>
      </c>
      <c r="F173" s="32">
        <f t="shared" si="63"/>
        <v>45748</v>
      </c>
      <c r="G173" s="32">
        <f t="shared" si="64"/>
        <v>46113</v>
      </c>
      <c r="H173" s="32">
        <f t="shared" si="65"/>
        <v>45763</v>
      </c>
      <c r="I173" s="32">
        <f t="shared" si="66"/>
        <v>46113</v>
      </c>
      <c r="J173" s="32">
        <f t="shared" si="67"/>
        <v>45839</v>
      </c>
      <c r="K173" s="32">
        <f t="shared" si="68"/>
        <v>46113</v>
      </c>
      <c r="L173" s="32">
        <f t="shared" si="69"/>
        <v>45931</v>
      </c>
      <c r="M173" s="32">
        <f t="shared" si="70"/>
        <v>46113</v>
      </c>
      <c r="N173" s="32">
        <f t="shared" si="71"/>
        <v>45946</v>
      </c>
      <c r="O173" s="32">
        <f t="shared" si="72"/>
        <v>46113</v>
      </c>
      <c r="P173" s="32">
        <f t="shared" si="73"/>
        <v>46023</v>
      </c>
      <c r="Q173" s="32">
        <f t="shared" si="74"/>
        <v>46113</v>
      </c>
      <c r="R173" s="32">
        <f t="shared" si="75"/>
        <v>46113</v>
      </c>
      <c r="S173" s="32" t="str">
        <f t="shared" si="76"/>
        <v/>
      </c>
      <c r="T173" s="32">
        <f t="shared" si="77"/>
        <v>46128</v>
      </c>
      <c r="U173" s="32" t="str">
        <f t="shared" si="78"/>
        <v/>
      </c>
      <c r="V173" s="32">
        <f t="shared" si="79"/>
        <v>46204</v>
      </c>
      <c r="W173" s="32" t="str">
        <f t="shared" si="80"/>
        <v/>
      </c>
      <c r="X173" s="32">
        <f t="shared" si="81"/>
        <v>46296</v>
      </c>
      <c r="Y173" s="32" t="str">
        <f t="shared" si="82"/>
        <v/>
      </c>
      <c r="Z173" s="32">
        <f t="shared" si="83"/>
        <v>46311</v>
      </c>
      <c r="AA173" s="32" t="str">
        <f t="shared" si="84"/>
        <v/>
      </c>
      <c r="AB173" s="32">
        <f t="shared" si="85"/>
        <v>46388</v>
      </c>
      <c r="AC173" s="32" t="str">
        <f t="shared" si="86"/>
        <v/>
      </c>
      <c r="AD173" s="32">
        <f t="shared" si="87"/>
        <v>46478</v>
      </c>
      <c r="AE173" s="32" t="str">
        <f t="shared" si="88"/>
        <v/>
      </c>
      <c r="AF173" s="32">
        <f t="shared" si="89"/>
        <v>46493</v>
      </c>
      <c r="AG173" s="32" t="str">
        <f t="shared" si="90"/>
        <v/>
      </c>
      <c r="AH173" s="32">
        <f t="shared" si="91"/>
        <v>46569</v>
      </c>
      <c r="AI173" s="32" t="str">
        <f t="shared" si="92"/>
        <v/>
      </c>
      <c r="AJ173" s="32">
        <f t="shared" si="93"/>
        <v>46661</v>
      </c>
      <c r="AK173" s="32" t="str">
        <f t="shared" si="94"/>
        <v/>
      </c>
      <c r="AL173" s="32">
        <f t="shared" si="95"/>
        <v>46676</v>
      </c>
      <c r="AM173" s="32" t="str">
        <f t="shared" si="96"/>
        <v/>
      </c>
      <c r="AN173" s="32">
        <f t="shared" si="97"/>
        <v>46753</v>
      </c>
      <c r="AO173" s="32" t="str">
        <f t="shared" si="98"/>
        <v/>
      </c>
      <c r="AP173" s="32">
        <f t="shared" si="99"/>
        <v>46844</v>
      </c>
      <c r="AQ173" s="32" t="str">
        <f t="shared" si="100"/>
        <v/>
      </c>
      <c r="AR173" s="32">
        <f t="shared" si="101"/>
        <v>46859</v>
      </c>
      <c r="AS173" s="32" t="str">
        <f t="shared" si="102"/>
        <v/>
      </c>
      <c r="AT173" s="32">
        <f t="shared" si="103"/>
        <v>46935</v>
      </c>
      <c r="AU173" s="32" t="str">
        <f t="shared" si="104"/>
        <v/>
      </c>
      <c r="AV173" s="32">
        <f t="shared" si="105"/>
        <v>47027</v>
      </c>
      <c r="AW173" s="32" t="str">
        <f t="shared" si="106"/>
        <v/>
      </c>
      <c r="AX173" s="32">
        <f t="shared" si="107"/>
        <v>47042</v>
      </c>
      <c r="AY173" s="32" t="str">
        <f t="shared" si="108"/>
        <v/>
      </c>
      <c r="AZ173" s="32">
        <f t="shared" si="109"/>
        <v>47119</v>
      </c>
      <c r="BA173" s="32" t="str">
        <f t="shared" si="110"/>
        <v/>
      </c>
      <c r="BB173" s="32">
        <f t="shared" si="111"/>
        <v>47209</v>
      </c>
      <c r="BC173" s="32" t="str">
        <f t="shared" si="112"/>
        <v/>
      </c>
      <c r="BD173" s="32">
        <f t="shared" si="113"/>
        <v>47224</v>
      </c>
      <c r="BE173" s="32" t="str">
        <f t="shared" si="114"/>
        <v/>
      </c>
      <c r="BF173" s="32">
        <f t="shared" si="115"/>
        <v>47300</v>
      </c>
      <c r="BG173" s="32" t="str">
        <f t="shared" si="116"/>
        <v/>
      </c>
      <c r="BH173" s="32">
        <f t="shared" si="117"/>
        <v>47392</v>
      </c>
      <c r="BI173" s="32" t="str">
        <f t="shared" si="118"/>
        <v/>
      </c>
      <c r="BJ173" s="32">
        <f t="shared" si="119"/>
        <v>47407</v>
      </c>
      <c r="BK173" s="32" t="str">
        <f t="shared" si="120"/>
        <v/>
      </c>
      <c r="BL173" s="32" t="str">
        <f t="shared" si="121"/>
        <v/>
      </c>
      <c r="BM173" s="32" t="str">
        <f t="shared" si="122"/>
        <v/>
      </c>
      <c r="BN173" s="32" t="str">
        <f t="shared" si="123"/>
        <v/>
      </c>
      <c r="BO173" s="32" t="str">
        <f t="shared" si="124"/>
        <v/>
      </c>
      <c r="BP173" s="32" t="str">
        <f t="shared" si="125"/>
        <v/>
      </c>
      <c r="BQ173" s="32" t="str">
        <f t="shared" si="126"/>
        <v/>
      </c>
      <c r="BR173" s="32" t="str">
        <f t="shared" si="127"/>
        <v/>
      </c>
      <c r="BS173" s="32" t="str">
        <f t="shared" si="128"/>
        <v/>
      </c>
      <c r="BT173" s="32" t="str">
        <f t="shared" si="129"/>
        <v/>
      </c>
      <c r="BU173" s="32" t="str">
        <f t="shared" si="130"/>
        <v/>
      </c>
      <c r="BV173" s="32" t="str">
        <f t="shared" si="131"/>
        <v/>
      </c>
      <c r="BW173" s="32" t="str">
        <f t="shared" si="132"/>
        <v/>
      </c>
      <c r="BX173" s="32" t="str">
        <f t="shared" si="133"/>
        <v/>
      </c>
      <c r="BY173" s="32" t="str">
        <f t="shared" si="134"/>
        <v/>
      </c>
      <c r="BZ173" s="32" t="str">
        <f t="shared" si="135"/>
        <v/>
      </c>
      <c r="CA173" s="32" t="str">
        <f t="shared" si="136"/>
        <v/>
      </c>
      <c r="CB173" s="32" t="str">
        <f t="shared" si="137"/>
        <v/>
      </c>
      <c r="CC173" s="32" t="str">
        <f t="shared" si="138"/>
        <v/>
      </c>
      <c r="CD173" s="32" t="str">
        <f t="shared" si="139"/>
        <v/>
      </c>
      <c r="CE173" s="32" t="str">
        <f t="shared" si="140"/>
        <v/>
      </c>
      <c r="CF173" s="32" t="str">
        <f t="shared" si="141"/>
        <v/>
      </c>
      <c r="CG173" s="32" t="str">
        <f t="shared" si="142"/>
        <v/>
      </c>
      <c r="CH173" s="32" t="str">
        <f t="shared" si="143"/>
        <v/>
      </c>
      <c r="CI173" s="32" t="str">
        <f t="shared" si="144"/>
        <v/>
      </c>
      <c r="CJ173" s="32" t="str">
        <f t="shared" si="145"/>
        <v/>
      </c>
    </row>
    <row r="174" spans="1:88" x14ac:dyDescent="0.2">
      <c r="A174" s="32">
        <f t="shared" si="146"/>
        <v>46204</v>
      </c>
      <c r="B174" s="32">
        <f t="shared" si="59"/>
        <v>45581</v>
      </c>
      <c r="C174" s="32">
        <f t="shared" si="60"/>
        <v>46204</v>
      </c>
      <c r="D174" s="32">
        <f t="shared" si="61"/>
        <v>45658</v>
      </c>
      <c r="E174" s="32">
        <f t="shared" si="62"/>
        <v>46204</v>
      </c>
      <c r="F174" s="32">
        <f t="shared" si="63"/>
        <v>45748</v>
      </c>
      <c r="G174" s="32">
        <f t="shared" si="64"/>
        <v>46204</v>
      </c>
      <c r="H174" s="32">
        <f t="shared" si="65"/>
        <v>45763</v>
      </c>
      <c r="I174" s="32">
        <f t="shared" si="66"/>
        <v>46204</v>
      </c>
      <c r="J174" s="32">
        <f t="shared" si="67"/>
        <v>45839</v>
      </c>
      <c r="K174" s="32">
        <f t="shared" si="68"/>
        <v>46204</v>
      </c>
      <c r="L174" s="32">
        <f t="shared" si="69"/>
        <v>45931</v>
      </c>
      <c r="M174" s="32">
        <f t="shared" si="70"/>
        <v>46204</v>
      </c>
      <c r="N174" s="32">
        <f t="shared" si="71"/>
        <v>45946</v>
      </c>
      <c r="O174" s="32">
        <f t="shared" si="72"/>
        <v>46204</v>
      </c>
      <c r="P174" s="32">
        <f t="shared" si="73"/>
        <v>46023</v>
      </c>
      <c r="Q174" s="32">
        <f t="shared" si="74"/>
        <v>46204</v>
      </c>
      <c r="R174" s="32">
        <f t="shared" si="75"/>
        <v>46113</v>
      </c>
      <c r="S174" s="32">
        <f t="shared" si="76"/>
        <v>46204</v>
      </c>
      <c r="T174" s="32">
        <f t="shared" si="77"/>
        <v>46128</v>
      </c>
      <c r="U174" s="32">
        <f t="shared" si="78"/>
        <v>46204</v>
      </c>
      <c r="V174" s="32">
        <f t="shared" si="79"/>
        <v>46204</v>
      </c>
      <c r="W174" s="32" t="str">
        <f t="shared" si="80"/>
        <v/>
      </c>
      <c r="X174" s="32">
        <f t="shared" si="81"/>
        <v>46296</v>
      </c>
      <c r="Y174" s="32" t="str">
        <f t="shared" si="82"/>
        <v/>
      </c>
      <c r="Z174" s="32">
        <f t="shared" si="83"/>
        <v>46311</v>
      </c>
      <c r="AA174" s="32" t="str">
        <f t="shared" si="84"/>
        <v/>
      </c>
      <c r="AB174" s="32">
        <f t="shared" si="85"/>
        <v>46388</v>
      </c>
      <c r="AC174" s="32" t="str">
        <f t="shared" si="86"/>
        <v/>
      </c>
      <c r="AD174" s="32">
        <f t="shared" si="87"/>
        <v>46478</v>
      </c>
      <c r="AE174" s="32" t="str">
        <f t="shared" si="88"/>
        <v/>
      </c>
      <c r="AF174" s="32">
        <f t="shared" si="89"/>
        <v>46493</v>
      </c>
      <c r="AG174" s="32" t="str">
        <f t="shared" si="90"/>
        <v/>
      </c>
      <c r="AH174" s="32">
        <f t="shared" si="91"/>
        <v>46569</v>
      </c>
      <c r="AI174" s="32" t="str">
        <f t="shared" si="92"/>
        <v/>
      </c>
      <c r="AJ174" s="32">
        <f t="shared" si="93"/>
        <v>46661</v>
      </c>
      <c r="AK174" s="32" t="str">
        <f t="shared" si="94"/>
        <v/>
      </c>
      <c r="AL174" s="32">
        <f t="shared" si="95"/>
        <v>46676</v>
      </c>
      <c r="AM174" s="32" t="str">
        <f t="shared" si="96"/>
        <v/>
      </c>
      <c r="AN174" s="32">
        <f t="shared" si="97"/>
        <v>46753</v>
      </c>
      <c r="AO174" s="32" t="str">
        <f t="shared" si="98"/>
        <v/>
      </c>
      <c r="AP174" s="32">
        <f t="shared" si="99"/>
        <v>46844</v>
      </c>
      <c r="AQ174" s="32" t="str">
        <f t="shared" si="100"/>
        <v/>
      </c>
      <c r="AR174" s="32">
        <f t="shared" si="101"/>
        <v>46859</v>
      </c>
      <c r="AS174" s="32" t="str">
        <f t="shared" si="102"/>
        <v/>
      </c>
      <c r="AT174" s="32">
        <f t="shared" si="103"/>
        <v>46935</v>
      </c>
      <c r="AU174" s="32" t="str">
        <f t="shared" si="104"/>
        <v/>
      </c>
      <c r="AV174" s="32">
        <f t="shared" si="105"/>
        <v>47027</v>
      </c>
      <c r="AW174" s="32" t="str">
        <f t="shared" si="106"/>
        <v/>
      </c>
      <c r="AX174" s="32">
        <f t="shared" si="107"/>
        <v>47042</v>
      </c>
      <c r="AY174" s="32" t="str">
        <f t="shared" si="108"/>
        <v/>
      </c>
      <c r="AZ174" s="32">
        <f t="shared" si="109"/>
        <v>47119</v>
      </c>
      <c r="BA174" s="32" t="str">
        <f t="shared" si="110"/>
        <v/>
      </c>
      <c r="BB174" s="32">
        <f t="shared" si="111"/>
        <v>47209</v>
      </c>
      <c r="BC174" s="32" t="str">
        <f t="shared" si="112"/>
        <v/>
      </c>
      <c r="BD174" s="32">
        <f t="shared" si="113"/>
        <v>47224</v>
      </c>
      <c r="BE174" s="32" t="str">
        <f t="shared" si="114"/>
        <v/>
      </c>
      <c r="BF174" s="32">
        <f t="shared" si="115"/>
        <v>47300</v>
      </c>
      <c r="BG174" s="32" t="str">
        <f t="shared" si="116"/>
        <v/>
      </c>
      <c r="BH174" s="32">
        <f t="shared" si="117"/>
        <v>47392</v>
      </c>
      <c r="BI174" s="32" t="str">
        <f t="shared" si="118"/>
        <v/>
      </c>
      <c r="BJ174" s="32">
        <f t="shared" si="119"/>
        <v>47407</v>
      </c>
      <c r="BK174" s="32" t="str">
        <f t="shared" si="120"/>
        <v/>
      </c>
      <c r="BL174" s="32" t="str">
        <f t="shared" si="121"/>
        <v/>
      </c>
      <c r="BM174" s="32" t="str">
        <f t="shared" si="122"/>
        <v/>
      </c>
      <c r="BN174" s="32" t="str">
        <f t="shared" si="123"/>
        <v/>
      </c>
      <c r="BO174" s="32" t="str">
        <f t="shared" si="124"/>
        <v/>
      </c>
      <c r="BP174" s="32" t="str">
        <f t="shared" si="125"/>
        <v/>
      </c>
      <c r="BQ174" s="32" t="str">
        <f t="shared" si="126"/>
        <v/>
      </c>
      <c r="BR174" s="32" t="str">
        <f t="shared" si="127"/>
        <v/>
      </c>
      <c r="BS174" s="32" t="str">
        <f t="shared" si="128"/>
        <v/>
      </c>
      <c r="BT174" s="32" t="str">
        <f t="shared" si="129"/>
        <v/>
      </c>
      <c r="BU174" s="32" t="str">
        <f t="shared" si="130"/>
        <v/>
      </c>
      <c r="BV174" s="32" t="str">
        <f t="shared" si="131"/>
        <v/>
      </c>
      <c r="BW174" s="32" t="str">
        <f t="shared" si="132"/>
        <v/>
      </c>
      <c r="BX174" s="32" t="str">
        <f t="shared" si="133"/>
        <v/>
      </c>
      <c r="BY174" s="32" t="str">
        <f t="shared" si="134"/>
        <v/>
      </c>
      <c r="BZ174" s="32" t="str">
        <f t="shared" si="135"/>
        <v/>
      </c>
      <c r="CA174" s="32" t="str">
        <f t="shared" si="136"/>
        <v/>
      </c>
      <c r="CB174" s="32" t="str">
        <f t="shared" si="137"/>
        <v/>
      </c>
      <c r="CC174" s="32" t="str">
        <f t="shared" si="138"/>
        <v/>
      </c>
      <c r="CD174" s="32" t="str">
        <f t="shared" si="139"/>
        <v/>
      </c>
      <c r="CE174" s="32" t="str">
        <f t="shared" si="140"/>
        <v/>
      </c>
      <c r="CF174" s="32" t="str">
        <f t="shared" si="141"/>
        <v/>
      </c>
      <c r="CG174" s="32" t="str">
        <f t="shared" si="142"/>
        <v/>
      </c>
      <c r="CH174" s="32" t="str">
        <f t="shared" si="143"/>
        <v/>
      </c>
      <c r="CI174" s="32" t="str">
        <f t="shared" si="144"/>
        <v/>
      </c>
      <c r="CJ174" s="32" t="str">
        <f t="shared" si="145"/>
        <v/>
      </c>
    </row>
    <row r="175" spans="1:88" x14ac:dyDescent="0.2">
      <c r="A175" s="32">
        <f t="shared" si="146"/>
        <v>46296</v>
      </c>
      <c r="B175" s="32">
        <f t="shared" si="59"/>
        <v>45581</v>
      </c>
      <c r="C175" s="32">
        <f t="shared" si="60"/>
        <v>46296</v>
      </c>
      <c r="D175" s="32">
        <f t="shared" si="61"/>
        <v>45658</v>
      </c>
      <c r="E175" s="32">
        <f t="shared" si="62"/>
        <v>46296</v>
      </c>
      <c r="F175" s="32">
        <f t="shared" si="63"/>
        <v>45748</v>
      </c>
      <c r="G175" s="32">
        <f t="shared" si="64"/>
        <v>46296</v>
      </c>
      <c r="H175" s="32">
        <f t="shared" si="65"/>
        <v>45763</v>
      </c>
      <c r="I175" s="32">
        <f t="shared" si="66"/>
        <v>46296</v>
      </c>
      <c r="J175" s="32">
        <f t="shared" si="67"/>
        <v>45839</v>
      </c>
      <c r="K175" s="32">
        <f t="shared" si="68"/>
        <v>46296</v>
      </c>
      <c r="L175" s="32">
        <f t="shared" si="69"/>
        <v>45931</v>
      </c>
      <c r="M175" s="32">
        <f t="shared" si="70"/>
        <v>46296</v>
      </c>
      <c r="N175" s="32">
        <f t="shared" si="71"/>
        <v>45946</v>
      </c>
      <c r="O175" s="32">
        <f t="shared" si="72"/>
        <v>46296</v>
      </c>
      <c r="P175" s="32">
        <f t="shared" si="73"/>
        <v>46023</v>
      </c>
      <c r="Q175" s="32">
        <f t="shared" si="74"/>
        <v>46296</v>
      </c>
      <c r="R175" s="32">
        <f t="shared" si="75"/>
        <v>46113</v>
      </c>
      <c r="S175" s="32">
        <f t="shared" si="76"/>
        <v>46296</v>
      </c>
      <c r="T175" s="32">
        <f t="shared" si="77"/>
        <v>46128</v>
      </c>
      <c r="U175" s="32">
        <f t="shared" si="78"/>
        <v>46296</v>
      </c>
      <c r="V175" s="32">
        <f t="shared" si="79"/>
        <v>46204</v>
      </c>
      <c r="W175" s="32">
        <f t="shared" si="80"/>
        <v>46296</v>
      </c>
      <c r="X175" s="32">
        <f t="shared" si="81"/>
        <v>46296</v>
      </c>
      <c r="Y175" s="32" t="str">
        <f t="shared" si="82"/>
        <v/>
      </c>
      <c r="Z175" s="32">
        <f t="shared" si="83"/>
        <v>46311</v>
      </c>
      <c r="AA175" s="32" t="str">
        <f t="shared" si="84"/>
        <v/>
      </c>
      <c r="AB175" s="32">
        <f t="shared" si="85"/>
        <v>46388</v>
      </c>
      <c r="AC175" s="32" t="str">
        <f t="shared" si="86"/>
        <v/>
      </c>
      <c r="AD175" s="32">
        <f t="shared" si="87"/>
        <v>46478</v>
      </c>
      <c r="AE175" s="32" t="str">
        <f t="shared" si="88"/>
        <v/>
      </c>
      <c r="AF175" s="32">
        <f t="shared" si="89"/>
        <v>46493</v>
      </c>
      <c r="AG175" s="32" t="str">
        <f t="shared" si="90"/>
        <v/>
      </c>
      <c r="AH175" s="32">
        <f t="shared" si="91"/>
        <v>46569</v>
      </c>
      <c r="AI175" s="32" t="str">
        <f t="shared" si="92"/>
        <v/>
      </c>
      <c r="AJ175" s="32">
        <f t="shared" si="93"/>
        <v>46661</v>
      </c>
      <c r="AK175" s="32" t="str">
        <f t="shared" si="94"/>
        <v/>
      </c>
      <c r="AL175" s="32">
        <f t="shared" si="95"/>
        <v>46676</v>
      </c>
      <c r="AM175" s="32" t="str">
        <f t="shared" si="96"/>
        <v/>
      </c>
      <c r="AN175" s="32">
        <f t="shared" si="97"/>
        <v>46753</v>
      </c>
      <c r="AO175" s="32" t="str">
        <f t="shared" si="98"/>
        <v/>
      </c>
      <c r="AP175" s="32">
        <f t="shared" si="99"/>
        <v>46844</v>
      </c>
      <c r="AQ175" s="32" t="str">
        <f t="shared" si="100"/>
        <v/>
      </c>
      <c r="AR175" s="32">
        <f t="shared" si="101"/>
        <v>46859</v>
      </c>
      <c r="AS175" s="32" t="str">
        <f t="shared" si="102"/>
        <v/>
      </c>
      <c r="AT175" s="32">
        <f t="shared" si="103"/>
        <v>46935</v>
      </c>
      <c r="AU175" s="32" t="str">
        <f t="shared" si="104"/>
        <v/>
      </c>
      <c r="AV175" s="32">
        <f t="shared" si="105"/>
        <v>47027</v>
      </c>
      <c r="AW175" s="32" t="str">
        <f t="shared" si="106"/>
        <v/>
      </c>
      <c r="AX175" s="32">
        <f t="shared" si="107"/>
        <v>47042</v>
      </c>
      <c r="AY175" s="32" t="str">
        <f t="shared" si="108"/>
        <v/>
      </c>
      <c r="AZ175" s="32">
        <f t="shared" si="109"/>
        <v>47119</v>
      </c>
      <c r="BA175" s="32" t="str">
        <f t="shared" si="110"/>
        <v/>
      </c>
      <c r="BB175" s="32">
        <f t="shared" si="111"/>
        <v>47209</v>
      </c>
      <c r="BC175" s="32" t="str">
        <f t="shared" si="112"/>
        <v/>
      </c>
      <c r="BD175" s="32">
        <f t="shared" si="113"/>
        <v>47224</v>
      </c>
      <c r="BE175" s="32" t="str">
        <f t="shared" si="114"/>
        <v/>
      </c>
      <c r="BF175" s="32">
        <f t="shared" si="115"/>
        <v>47300</v>
      </c>
      <c r="BG175" s="32" t="str">
        <f t="shared" si="116"/>
        <v/>
      </c>
      <c r="BH175" s="32">
        <f t="shared" si="117"/>
        <v>47392</v>
      </c>
      <c r="BI175" s="32" t="str">
        <f t="shared" si="118"/>
        <v/>
      </c>
      <c r="BJ175" s="32">
        <f t="shared" si="119"/>
        <v>47407</v>
      </c>
      <c r="BK175" s="32" t="str">
        <f t="shared" si="120"/>
        <v/>
      </c>
      <c r="BL175" s="32" t="str">
        <f t="shared" si="121"/>
        <v/>
      </c>
      <c r="BM175" s="32" t="str">
        <f t="shared" si="122"/>
        <v/>
      </c>
      <c r="BN175" s="32" t="str">
        <f t="shared" si="123"/>
        <v/>
      </c>
      <c r="BO175" s="32" t="str">
        <f t="shared" si="124"/>
        <v/>
      </c>
      <c r="BP175" s="32" t="str">
        <f t="shared" si="125"/>
        <v/>
      </c>
      <c r="BQ175" s="32" t="str">
        <f t="shared" si="126"/>
        <v/>
      </c>
      <c r="BR175" s="32" t="str">
        <f t="shared" si="127"/>
        <v/>
      </c>
      <c r="BS175" s="32" t="str">
        <f t="shared" si="128"/>
        <v/>
      </c>
      <c r="BT175" s="32" t="str">
        <f t="shared" si="129"/>
        <v/>
      </c>
      <c r="BU175" s="32" t="str">
        <f t="shared" si="130"/>
        <v/>
      </c>
      <c r="BV175" s="32" t="str">
        <f t="shared" si="131"/>
        <v/>
      </c>
      <c r="BW175" s="32" t="str">
        <f t="shared" si="132"/>
        <v/>
      </c>
      <c r="BX175" s="32" t="str">
        <f t="shared" si="133"/>
        <v/>
      </c>
      <c r="BY175" s="32" t="str">
        <f t="shared" si="134"/>
        <v/>
      </c>
      <c r="BZ175" s="32" t="str">
        <f t="shared" si="135"/>
        <v/>
      </c>
      <c r="CA175" s="32" t="str">
        <f t="shared" si="136"/>
        <v/>
      </c>
      <c r="CB175" s="32" t="str">
        <f t="shared" si="137"/>
        <v/>
      </c>
      <c r="CC175" s="32" t="str">
        <f t="shared" si="138"/>
        <v/>
      </c>
      <c r="CD175" s="32" t="str">
        <f t="shared" si="139"/>
        <v/>
      </c>
      <c r="CE175" s="32" t="str">
        <f t="shared" si="140"/>
        <v/>
      </c>
      <c r="CF175" s="32" t="str">
        <f t="shared" si="141"/>
        <v/>
      </c>
      <c r="CG175" s="32" t="str">
        <f t="shared" si="142"/>
        <v/>
      </c>
      <c r="CH175" s="32" t="str">
        <f t="shared" si="143"/>
        <v/>
      </c>
      <c r="CI175" s="32" t="str">
        <f t="shared" si="144"/>
        <v/>
      </c>
      <c r="CJ175" s="32" t="str">
        <f t="shared" si="145"/>
        <v/>
      </c>
    </row>
    <row r="176" spans="1:88" x14ac:dyDescent="0.2">
      <c r="A176" s="32">
        <f t="shared" si="146"/>
        <v>46388</v>
      </c>
      <c r="B176" s="32">
        <f t="shared" si="59"/>
        <v>45581</v>
      </c>
      <c r="C176" s="32">
        <f t="shared" si="60"/>
        <v>46388</v>
      </c>
      <c r="D176" s="32">
        <f t="shared" si="61"/>
        <v>45658</v>
      </c>
      <c r="E176" s="32">
        <f t="shared" si="62"/>
        <v>46388</v>
      </c>
      <c r="F176" s="32">
        <f t="shared" si="63"/>
        <v>45748</v>
      </c>
      <c r="G176" s="32">
        <f t="shared" si="64"/>
        <v>46388</v>
      </c>
      <c r="H176" s="32">
        <f t="shared" si="65"/>
        <v>45763</v>
      </c>
      <c r="I176" s="32">
        <f t="shared" si="66"/>
        <v>46388</v>
      </c>
      <c r="J176" s="32">
        <f t="shared" si="67"/>
        <v>45839</v>
      </c>
      <c r="K176" s="32">
        <f t="shared" si="68"/>
        <v>46388</v>
      </c>
      <c r="L176" s="32">
        <f t="shared" si="69"/>
        <v>45931</v>
      </c>
      <c r="M176" s="32">
        <f t="shared" si="70"/>
        <v>46388</v>
      </c>
      <c r="N176" s="32">
        <f t="shared" si="71"/>
        <v>45946</v>
      </c>
      <c r="O176" s="32">
        <f t="shared" si="72"/>
        <v>46388</v>
      </c>
      <c r="P176" s="32">
        <f t="shared" si="73"/>
        <v>46023</v>
      </c>
      <c r="Q176" s="32">
        <f t="shared" si="74"/>
        <v>46388</v>
      </c>
      <c r="R176" s="32">
        <f t="shared" si="75"/>
        <v>46113</v>
      </c>
      <c r="S176" s="32">
        <f t="shared" si="76"/>
        <v>46388</v>
      </c>
      <c r="T176" s="32">
        <f t="shared" si="77"/>
        <v>46128</v>
      </c>
      <c r="U176" s="32">
        <f t="shared" si="78"/>
        <v>46388</v>
      </c>
      <c r="V176" s="32">
        <f t="shared" si="79"/>
        <v>46204</v>
      </c>
      <c r="W176" s="32">
        <f t="shared" si="80"/>
        <v>46388</v>
      </c>
      <c r="X176" s="32">
        <f t="shared" si="81"/>
        <v>46296</v>
      </c>
      <c r="Y176" s="32">
        <f t="shared" si="82"/>
        <v>46388</v>
      </c>
      <c r="Z176" s="32">
        <f t="shared" si="83"/>
        <v>46311</v>
      </c>
      <c r="AA176" s="32">
        <f t="shared" si="84"/>
        <v>46388</v>
      </c>
      <c r="AB176" s="32">
        <f t="shared" si="85"/>
        <v>46388</v>
      </c>
      <c r="AC176" s="32" t="str">
        <f t="shared" si="86"/>
        <v/>
      </c>
      <c r="AD176" s="32">
        <f t="shared" si="87"/>
        <v>46478</v>
      </c>
      <c r="AE176" s="32" t="str">
        <f t="shared" si="88"/>
        <v/>
      </c>
      <c r="AF176" s="32">
        <f t="shared" si="89"/>
        <v>46493</v>
      </c>
      <c r="AG176" s="32" t="str">
        <f t="shared" si="90"/>
        <v/>
      </c>
      <c r="AH176" s="32">
        <f t="shared" si="91"/>
        <v>46569</v>
      </c>
      <c r="AI176" s="32" t="str">
        <f t="shared" si="92"/>
        <v/>
      </c>
      <c r="AJ176" s="32">
        <f t="shared" si="93"/>
        <v>46661</v>
      </c>
      <c r="AK176" s="32" t="str">
        <f t="shared" si="94"/>
        <v/>
      </c>
      <c r="AL176" s="32">
        <f t="shared" si="95"/>
        <v>46676</v>
      </c>
      <c r="AM176" s="32" t="str">
        <f t="shared" si="96"/>
        <v/>
      </c>
      <c r="AN176" s="32">
        <f t="shared" si="97"/>
        <v>46753</v>
      </c>
      <c r="AO176" s="32" t="str">
        <f t="shared" si="98"/>
        <v/>
      </c>
      <c r="AP176" s="32">
        <f t="shared" si="99"/>
        <v>46844</v>
      </c>
      <c r="AQ176" s="32" t="str">
        <f t="shared" si="100"/>
        <v/>
      </c>
      <c r="AR176" s="32">
        <f t="shared" si="101"/>
        <v>46859</v>
      </c>
      <c r="AS176" s="32" t="str">
        <f t="shared" si="102"/>
        <v/>
      </c>
      <c r="AT176" s="32">
        <f t="shared" si="103"/>
        <v>46935</v>
      </c>
      <c r="AU176" s="32" t="str">
        <f t="shared" si="104"/>
        <v/>
      </c>
      <c r="AV176" s="32">
        <f t="shared" si="105"/>
        <v>47027</v>
      </c>
      <c r="AW176" s="32" t="str">
        <f t="shared" si="106"/>
        <v/>
      </c>
      <c r="AX176" s="32">
        <f t="shared" si="107"/>
        <v>47042</v>
      </c>
      <c r="AY176" s="32" t="str">
        <f t="shared" si="108"/>
        <v/>
      </c>
      <c r="AZ176" s="32">
        <f t="shared" si="109"/>
        <v>47119</v>
      </c>
      <c r="BA176" s="32" t="str">
        <f t="shared" si="110"/>
        <v/>
      </c>
      <c r="BB176" s="32">
        <f t="shared" si="111"/>
        <v>47209</v>
      </c>
      <c r="BC176" s="32" t="str">
        <f t="shared" si="112"/>
        <v/>
      </c>
      <c r="BD176" s="32">
        <f t="shared" si="113"/>
        <v>47224</v>
      </c>
      <c r="BE176" s="32" t="str">
        <f t="shared" si="114"/>
        <v/>
      </c>
      <c r="BF176" s="32">
        <f t="shared" si="115"/>
        <v>47300</v>
      </c>
      <c r="BG176" s="32" t="str">
        <f t="shared" si="116"/>
        <v/>
      </c>
      <c r="BH176" s="32">
        <f t="shared" si="117"/>
        <v>47392</v>
      </c>
      <c r="BI176" s="32" t="str">
        <f t="shared" si="118"/>
        <v/>
      </c>
      <c r="BJ176" s="32">
        <f t="shared" si="119"/>
        <v>47407</v>
      </c>
      <c r="BK176" s="32" t="str">
        <f t="shared" si="120"/>
        <v/>
      </c>
      <c r="BL176" s="32" t="str">
        <f t="shared" si="121"/>
        <v/>
      </c>
      <c r="BM176" s="32" t="str">
        <f t="shared" si="122"/>
        <v/>
      </c>
      <c r="BN176" s="32" t="str">
        <f t="shared" si="123"/>
        <v/>
      </c>
      <c r="BO176" s="32" t="str">
        <f t="shared" si="124"/>
        <v/>
      </c>
      <c r="BP176" s="32" t="str">
        <f t="shared" si="125"/>
        <v/>
      </c>
      <c r="BQ176" s="32" t="str">
        <f t="shared" si="126"/>
        <v/>
      </c>
      <c r="BR176" s="32" t="str">
        <f t="shared" si="127"/>
        <v/>
      </c>
      <c r="BS176" s="32" t="str">
        <f t="shared" si="128"/>
        <v/>
      </c>
      <c r="BT176" s="32" t="str">
        <f t="shared" si="129"/>
        <v/>
      </c>
      <c r="BU176" s="32" t="str">
        <f t="shared" si="130"/>
        <v/>
      </c>
      <c r="BV176" s="32" t="str">
        <f t="shared" si="131"/>
        <v/>
      </c>
      <c r="BW176" s="32" t="str">
        <f t="shared" si="132"/>
        <v/>
      </c>
      <c r="BX176" s="32" t="str">
        <f t="shared" si="133"/>
        <v/>
      </c>
      <c r="BY176" s="32" t="str">
        <f t="shared" si="134"/>
        <v/>
      </c>
      <c r="BZ176" s="32" t="str">
        <f t="shared" si="135"/>
        <v/>
      </c>
      <c r="CA176" s="32" t="str">
        <f t="shared" si="136"/>
        <v/>
      </c>
      <c r="CB176" s="32" t="str">
        <f t="shared" si="137"/>
        <v/>
      </c>
      <c r="CC176" s="32" t="str">
        <f t="shared" si="138"/>
        <v/>
      </c>
      <c r="CD176" s="32" t="str">
        <f t="shared" si="139"/>
        <v/>
      </c>
      <c r="CE176" s="32" t="str">
        <f t="shared" si="140"/>
        <v/>
      </c>
      <c r="CF176" s="32" t="str">
        <f t="shared" si="141"/>
        <v/>
      </c>
      <c r="CG176" s="32" t="str">
        <f t="shared" si="142"/>
        <v/>
      </c>
      <c r="CH176" s="32" t="str">
        <f t="shared" si="143"/>
        <v/>
      </c>
      <c r="CI176" s="32" t="str">
        <f t="shared" si="144"/>
        <v/>
      </c>
      <c r="CJ176" s="32" t="str">
        <f t="shared" si="145"/>
        <v/>
      </c>
    </row>
    <row r="177" spans="1:88" x14ac:dyDescent="0.2">
      <c r="A177" s="32">
        <f t="shared" si="146"/>
        <v>46478</v>
      </c>
      <c r="B177" s="32">
        <f t="shared" si="59"/>
        <v>45581</v>
      </c>
      <c r="C177" s="32">
        <f t="shared" si="60"/>
        <v>46478</v>
      </c>
      <c r="D177" s="32">
        <f t="shared" si="61"/>
        <v>45658</v>
      </c>
      <c r="E177" s="32">
        <f t="shared" si="62"/>
        <v>46478</v>
      </c>
      <c r="F177" s="32">
        <f t="shared" si="63"/>
        <v>45748</v>
      </c>
      <c r="G177" s="32">
        <f t="shared" si="64"/>
        <v>46478</v>
      </c>
      <c r="H177" s="32">
        <f t="shared" si="65"/>
        <v>45763</v>
      </c>
      <c r="I177" s="32">
        <f t="shared" si="66"/>
        <v>46478</v>
      </c>
      <c r="J177" s="32">
        <f t="shared" si="67"/>
        <v>45839</v>
      </c>
      <c r="K177" s="32">
        <f t="shared" si="68"/>
        <v>46478</v>
      </c>
      <c r="L177" s="32">
        <f t="shared" si="69"/>
        <v>45931</v>
      </c>
      <c r="M177" s="32">
        <f t="shared" si="70"/>
        <v>46478</v>
      </c>
      <c r="N177" s="32">
        <f t="shared" si="71"/>
        <v>45946</v>
      </c>
      <c r="O177" s="32">
        <f t="shared" si="72"/>
        <v>46478</v>
      </c>
      <c r="P177" s="32">
        <f t="shared" si="73"/>
        <v>46023</v>
      </c>
      <c r="Q177" s="32">
        <f t="shared" si="74"/>
        <v>46478</v>
      </c>
      <c r="R177" s="32">
        <f t="shared" si="75"/>
        <v>46113</v>
      </c>
      <c r="S177" s="32">
        <f t="shared" si="76"/>
        <v>46478</v>
      </c>
      <c r="T177" s="32">
        <f t="shared" si="77"/>
        <v>46128</v>
      </c>
      <c r="U177" s="32">
        <f t="shared" si="78"/>
        <v>46478</v>
      </c>
      <c r="V177" s="32">
        <f t="shared" si="79"/>
        <v>46204</v>
      </c>
      <c r="W177" s="32">
        <f t="shared" si="80"/>
        <v>46478</v>
      </c>
      <c r="X177" s="32">
        <f t="shared" si="81"/>
        <v>46296</v>
      </c>
      <c r="Y177" s="32">
        <f t="shared" si="82"/>
        <v>46478</v>
      </c>
      <c r="Z177" s="32">
        <f t="shared" si="83"/>
        <v>46311</v>
      </c>
      <c r="AA177" s="32">
        <f t="shared" si="84"/>
        <v>46478</v>
      </c>
      <c r="AB177" s="32">
        <f t="shared" si="85"/>
        <v>46388</v>
      </c>
      <c r="AC177" s="32">
        <f t="shared" si="86"/>
        <v>46478</v>
      </c>
      <c r="AD177" s="32">
        <f t="shared" si="87"/>
        <v>46478</v>
      </c>
      <c r="AE177" s="32" t="str">
        <f t="shared" si="88"/>
        <v/>
      </c>
      <c r="AF177" s="32">
        <f t="shared" si="89"/>
        <v>46493</v>
      </c>
      <c r="AG177" s="32" t="str">
        <f t="shared" si="90"/>
        <v/>
      </c>
      <c r="AH177" s="32">
        <f t="shared" si="91"/>
        <v>46569</v>
      </c>
      <c r="AI177" s="32" t="str">
        <f t="shared" si="92"/>
        <v/>
      </c>
      <c r="AJ177" s="32">
        <f t="shared" si="93"/>
        <v>46661</v>
      </c>
      <c r="AK177" s="32" t="str">
        <f t="shared" si="94"/>
        <v/>
      </c>
      <c r="AL177" s="32">
        <f t="shared" si="95"/>
        <v>46676</v>
      </c>
      <c r="AM177" s="32" t="str">
        <f t="shared" si="96"/>
        <v/>
      </c>
      <c r="AN177" s="32">
        <f t="shared" si="97"/>
        <v>46753</v>
      </c>
      <c r="AO177" s="32" t="str">
        <f t="shared" si="98"/>
        <v/>
      </c>
      <c r="AP177" s="32">
        <f t="shared" si="99"/>
        <v>46844</v>
      </c>
      <c r="AQ177" s="32" t="str">
        <f t="shared" si="100"/>
        <v/>
      </c>
      <c r="AR177" s="32">
        <f t="shared" si="101"/>
        <v>46859</v>
      </c>
      <c r="AS177" s="32" t="str">
        <f t="shared" si="102"/>
        <v/>
      </c>
      <c r="AT177" s="32">
        <f t="shared" si="103"/>
        <v>46935</v>
      </c>
      <c r="AU177" s="32" t="str">
        <f t="shared" si="104"/>
        <v/>
      </c>
      <c r="AV177" s="32">
        <f t="shared" si="105"/>
        <v>47027</v>
      </c>
      <c r="AW177" s="32" t="str">
        <f t="shared" si="106"/>
        <v/>
      </c>
      <c r="AX177" s="32">
        <f t="shared" si="107"/>
        <v>47042</v>
      </c>
      <c r="AY177" s="32" t="str">
        <f t="shared" si="108"/>
        <v/>
      </c>
      <c r="AZ177" s="32">
        <f t="shared" si="109"/>
        <v>47119</v>
      </c>
      <c r="BA177" s="32" t="str">
        <f t="shared" si="110"/>
        <v/>
      </c>
      <c r="BB177" s="32">
        <f t="shared" si="111"/>
        <v>47209</v>
      </c>
      <c r="BC177" s="32" t="str">
        <f t="shared" si="112"/>
        <v/>
      </c>
      <c r="BD177" s="32">
        <f t="shared" si="113"/>
        <v>47224</v>
      </c>
      <c r="BE177" s="32" t="str">
        <f t="shared" si="114"/>
        <v/>
      </c>
      <c r="BF177" s="32">
        <f t="shared" si="115"/>
        <v>47300</v>
      </c>
      <c r="BG177" s="32" t="str">
        <f t="shared" si="116"/>
        <v/>
      </c>
      <c r="BH177" s="32">
        <f t="shared" si="117"/>
        <v>47392</v>
      </c>
      <c r="BI177" s="32" t="str">
        <f t="shared" si="118"/>
        <v/>
      </c>
      <c r="BJ177" s="32">
        <f t="shared" si="119"/>
        <v>47407</v>
      </c>
      <c r="BK177" s="32" t="str">
        <f t="shared" si="120"/>
        <v/>
      </c>
      <c r="BL177" s="32" t="str">
        <f t="shared" si="121"/>
        <v/>
      </c>
      <c r="BM177" s="32" t="str">
        <f t="shared" si="122"/>
        <v/>
      </c>
      <c r="BN177" s="32" t="str">
        <f t="shared" si="123"/>
        <v/>
      </c>
      <c r="BO177" s="32" t="str">
        <f t="shared" si="124"/>
        <v/>
      </c>
      <c r="BP177" s="32" t="str">
        <f t="shared" si="125"/>
        <v/>
      </c>
      <c r="BQ177" s="32" t="str">
        <f t="shared" si="126"/>
        <v/>
      </c>
      <c r="BR177" s="32" t="str">
        <f t="shared" si="127"/>
        <v/>
      </c>
      <c r="BS177" s="32" t="str">
        <f t="shared" si="128"/>
        <v/>
      </c>
      <c r="BT177" s="32" t="str">
        <f t="shared" si="129"/>
        <v/>
      </c>
      <c r="BU177" s="32" t="str">
        <f t="shared" si="130"/>
        <v/>
      </c>
      <c r="BV177" s="32" t="str">
        <f t="shared" si="131"/>
        <v/>
      </c>
      <c r="BW177" s="32" t="str">
        <f t="shared" si="132"/>
        <v/>
      </c>
      <c r="BX177" s="32" t="str">
        <f t="shared" si="133"/>
        <v/>
      </c>
      <c r="BY177" s="32" t="str">
        <f t="shared" si="134"/>
        <v/>
      </c>
      <c r="BZ177" s="32" t="str">
        <f t="shared" si="135"/>
        <v/>
      </c>
      <c r="CA177" s="32" t="str">
        <f t="shared" si="136"/>
        <v/>
      </c>
      <c r="CB177" s="32" t="str">
        <f t="shared" si="137"/>
        <v/>
      </c>
      <c r="CC177" s="32" t="str">
        <f t="shared" si="138"/>
        <v/>
      </c>
      <c r="CD177" s="32" t="str">
        <f t="shared" si="139"/>
        <v/>
      </c>
      <c r="CE177" s="32" t="str">
        <f t="shared" si="140"/>
        <v/>
      </c>
      <c r="CF177" s="32" t="str">
        <f t="shared" si="141"/>
        <v/>
      </c>
      <c r="CG177" s="32" t="str">
        <f t="shared" si="142"/>
        <v/>
      </c>
      <c r="CH177" s="32" t="str">
        <f t="shared" si="143"/>
        <v/>
      </c>
      <c r="CI177" s="32" t="str">
        <f t="shared" si="144"/>
        <v/>
      </c>
      <c r="CJ177" s="32" t="str">
        <f t="shared" si="145"/>
        <v/>
      </c>
    </row>
    <row r="178" spans="1:88" x14ac:dyDescent="0.2">
      <c r="A178" s="32">
        <f t="shared" si="146"/>
        <v>46569</v>
      </c>
      <c r="B178" s="32">
        <f t="shared" si="59"/>
        <v>45581</v>
      </c>
      <c r="C178" s="32">
        <f t="shared" si="60"/>
        <v>46569</v>
      </c>
      <c r="D178" s="32">
        <f t="shared" si="61"/>
        <v>45658</v>
      </c>
      <c r="E178" s="32">
        <f t="shared" si="62"/>
        <v>46569</v>
      </c>
      <c r="F178" s="32">
        <f t="shared" si="63"/>
        <v>45748</v>
      </c>
      <c r="G178" s="32">
        <f t="shared" si="64"/>
        <v>46569</v>
      </c>
      <c r="H178" s="32">
        <f t="shared" si="65"/>
        <v>45763</v>
      </c>
      <c r="I178" s="32">
        <f t="shared" si="66"/>
        <v>46569</v>
      </c>
      <c r="J178" s="32">
        <f t="shared" si="67"/>
        <v>45839</v>
      </c>
      <c r="K178" s="32">
        <f t="shared" si="68"/>
        <v>46569</v>
      </c>
      <c r="L178" s="32">
        <f t="shared" si="69"/>
        <v>45931</v>
      </c>
      <c r="M178" s="32">
        <f t="shared" si="70"/>
        <v>46569</v>
      </c>
      <c r="N178" s="32">
        <f t="shared" si="71"/>
        <v>45946</v>
      </c>
      <c r="O178" s="32">
        <f t="shared" si="72"/>
        <v>46569</v>
      </c>
      <c r="P178" s="32">
        <f t="shared" si="73"/>
        <v>46023</v>
      </c>
      <c r="Q178" s="32">
        <f t="shared" si="74"/>
        <v>46569</v>
      </c>
      <c r="R178" s="32">
        <f t="shared" si="75"/>
        <v>46113</v>
      </c>
      <c r="S178" s="32">
        <f t="shared" si="76"/>
        <v>46569</v>
      </c>
      <c r="T178" s="32">
        <f t="shared" si="77"/>
        <v>46128</v>
      </c>
      <c r="U178" s="32">
        <f t="shared" si="78"/>
        <v>46569</v>
      </c>
      <c r="V178" s="32">
        <f t="shared" si="79"/>
        <v>46204</v>
      </c>
      <c r="W178" s="32">
        <f t="shared" si="80"/>
        <v>46569</v>
      </c>
      <c r="X178" s="32">
        <f t="shared" si="81"/>
        <v>46296</v>
      </c>
      <c r="Y178" s="32">
        <f t="shared" si="82"/>
        <v>46569</v>
      </c>
      <c r="Z178" s="32">
        <f t="shared" si="83"/>
        <v>46311</v>
      </c>
      <c r="AA178" s="32">
        <f t="shared" si="84"/>
        <v>46569</v>
      </c>
      <c r="AB178" s="32">
        <f t="shared" si="85"/>
        <v>46388</v>
      </c>
      <c r="AC178" s="32">
        <f t="shared" si="86"/>
        <v>46569</v>
      </c>
      <c r="AD178" s="32">
        <f t="shared" si="87"/>
        <v>46478</v>
      </c>
      <c r="AE178" s="32">
        <f t="shared" si="88"/>
        <v>46569</v>
      </c>
      <c r="AF178" s="32">
        <f t="shared" si="89"/>
        <v>46493</v>
      </c>
      <c r="AG178" s="32">
        <f t="shared" si="90"/>
        <v>46569</v>
      </c>
      <c r="AH178" s="32">
        <f t="shared" si="91"/>
        <v>46569</v>
      </c>
      <c r="AI178" s="32" t="str">
        <f t="shared" si="92"/>
        <v/>
      </c>
      <c r="AJ178" s="32">
        <f t="shared" si="93"/>
        <v>46661</v>
      </c>
      <c r="AK178" s="32" t="str">
        <f t="shared" si="94"/>
        <v/>
      </c>
      <c r="AL178" s="32">
        <f t="shared" si="95"/>
        <v>46676</v>
      </c>
      <c r="AM178" s="32" t="str">
        <f t="shared" si="96"/>
        <v/>
      </c>
      <c r="AN178" s="32">
        <f t="shared" si="97"/>
        <v>46753</v>
      </c>
      <c r="AO178" s="32" t="str">
        <f t="shared" si="98"/>
        <v/>
      </c>
      <c r="AP178" s="32">
        <f t="shared" si="99"/>
        <v>46844</v>
      </c>
      <c r="AQ178" s="32" t="str">
        <f t="shared" si="100"/>
        <v/>
      </c>
      <c r="AR178" s="32">
        <f t="shared" si="101"/>
        <v>46859</v>
      </c>
      <c r="AS178" s="32" t="str">
        <f t="shared" si="102"/>
        <v/>
      </c>
      <c r="AT178" s="32">
        <f t="shared" si="103"/>
        <v>46935</v>
      </c>
      <c r="AU178" s="32" t="str">
        <f t="shared" si="104"/>
        <v/>
      </c>
      <c r="AV178" s="32">
        <f t="shared" si="105"/>
        <v>47027</v>
      </c>
      <c r="AW178" s="32" t="str">
        <f t="shared" si="106"/>
        <v/>
      </c>
      <c r="AX178" s="32">
        <f t="shared" si="107"/>
        <v>47042</v>
      </c>
      <c r="AY178" s="32" t="str">
        <f t="shared" si="108"/>
        <v/>
      </c>
      <c r="AZ178" s="32">
        <f t="shared" si="109"/>
        <v>47119</v>
      </c>
      <c r="BA178" s="32" t="str">
        <f t="shared" si="110"/>
        <v/>
      </c>
      <c r="BB178" s="32">
        <f t="shared" si="111"/>
        <v>47209</v>
      </c>
      <c r="BC178" s="32" t="str">
        <f t="shared" si="112"/>
        <v/>
      </c>
      <c r="BD178" s="32">
        <f t="shared" si="113"/>
        <v>47224</v>
      </c>
      <c r="BE178" s="32" t="str">
        <f t="shared" si="114"/>
        <v/>
      </c>
      <c r="BF178" s="32">
        <f t="shared" si="115"/>
        <v>47300</v>
      </c>
      <c r="BG178" s="32" t="str">
        <f t="shared" si="116"/>
        <v/>
      </c>
      <c r="BH178" s="32">
        <f t="shared" si="117"/>
        <v>47392</v>
      </c>
      <c r="BI178" s="32" t="str">
        <f t="shared" si="118"/>
        <v/>
      </c>
      <c r="BJ178" s="32">
        <f t="shared" si="119"/>
        <v>47407</v>
      </c>
      <c r="BK178" s="32" t="str">
        <f t="shared" si="120"/>
        <v/>
      </c>
      <c r="BL178" s="32" t="str">
        <f t="shared" si="121"/>
        <v/>
      </c>
      <c r="BM178" s="32" t="str">
        <f t="shared" si="122"/>
        <v/>
      </c>
      <c r="BN178" s="32" t="str">
        <f t="shared" si="123"/>
        <v/>
      </c>
      <c r="BO178" s="32" t="str">
        <f t="shared" si="124"/>
        <v/>
      </c>
      <c r="BP178" s="32" t="str">
        <f t="shared" si="125"/>
        <v/>
      </c>
      <c r="BQ178" s="32" t="str">
        <f t="shared" si="126"/>
        <v/>
      </c>
      <c r="BR178" s="32" t="str">
        <f t="shared" si="127"/>
        <v/>
      </c>
      <c r="BS178" s="32" t="str">
        <f t="shared" si="128"/>
        <v/>
      </c>
      <c r="BT178" s="32" t="str">
        <f t="shared" si="129"/>
        <v/>
      </c>
      <c r="BU178" s="32" t="str">
        <f t="shared" si="130"/>
        <v/>
      </c>
      <c r="BV178" s="32" t="str">
        <f t="shared" si="131"/>
        <v/>
      </c>
      <c r="BW178" s="32" t="str">
        <f t="shared" si="132"/>
        <v/>
      </c>
      <c r="BX178" s="32" t="str">
        <f t="shared" si="133"/>
        <v/>
      </c>
      <c r="BY178" s="32" t="str">
        <f t="shared" si="134"/>
        <v/>
      </c>
      <c r="BZ178" s="32" t="str">
        <f t="shared" si="135"/>
        <v/>
      </c>
      <c r="CA178" s="32" t="str">
        <f t="shared" si="136"/>
        <v/>
      </c>
      <c r="CB178" s="32" t="str">
        <f t="shared" si="137"/>
        <v/>
      </c>
      <c r="CC178" s="32" t="str">
        <f t="shared" si="138"/>
        <v/>
      </c>
      <c r="CD178" s="32" t="str">
        <f t="shared" si="139"/>
        <v/>
      </c>
      <c r="CE178" s="32" t="str">
        <f t="shared" si="140"/>
        <v/>
      </c>
      <c r="CF178" s="32" t="str">
        <f t="shared" si="141"/>
        <v/>
      </c>
      <c r="CG178" s="32" t="str">
        <f t="shared" si="142"/>
        <v/>
      </c>
      <c r="CH178" s="32" t="str">
        <f t="shared" si="143"/>
        <v/>
      </c>
      <c r="CI178" s="32" t="str">
        <f t="shared" si="144"/>
        <v/>
      </c>
      <c r="CJ178" s="32" t="str">
        <f t="shared" si="145"/>
        <v/>
      </c>
    </row>
    <row r="179" spans="1:88" x14ac:dyDescent="0.2">
      <c r="A179" s="32">
        <f t="shared" si="146"/>
        <v>46661</v>
      </c>
      <c r="B179" s="32">
        <f t="shared" si="59"/>
        <v>45581</v>
      </c>
      <c r="C179" s="32">
        <f t="shared" si="60"/>
        <v>46661</v>
      </c>
      <c r="D179" s="32">
        <f t="shared" si="61"/>
        <v>45658</v>
      </c>
      <c r="E179" s="32">
        <f t="shared" si="62"/>
        <v>46661</v>
      </c>
      <c r="F179" s="32">
        <f t="shared" si="63"/>
        <v>45748</v>
      </c>
      <c r="G179" s="32">
        <f t="shared" si="64"/>
        <v>46661</v>
      </c>
      <c r="H179" s="32">
        <f t="shared" si="65"/>
        <v>45763</v>
      </c>
      <c r="I179" s="32">
        <f t="shared" si="66"/>
        <v>46661</v>
      </c>
      <c r="J179" s="32">
        <f t="shared" si="67"/>
        <v>45839</v>
      </c>
      <c r="K179" s="32">
        <f t="shared" si="68"/>
        <v>46661</v>
      </c>
      <c r="L179" s="32">
        <f t="shared" si="69"/>
        <v>45931</v>
      </c>
      <c r="M179" s="32">
        <f t="shared" si="70"/>
        <v>46661</v>
      </c>
      <c r="N179" s="32">
        <f t="shared" si="71"/>
        <v>45946</v>
      </c>
      <c r="O179" s="32">
        <f t="shared" si="72"/>
        <v>46661</v>
      </c>
      <c r="P179" s="32">
        <f t="shared" si="73"/>
        <v>46023</v>
      </c>
      <c r="Q179" s="32">
        <f t="shared" si="74"/>
        <v>46661</v>
      </c>
      <c r="R179" s="32">
        <f t="shared" si="75"/>
        <v>46113</v>
      </c>
      <c r="S179" s="32">
        <f t="shared" si="76"/>
        <v>46661</v>
      </c>
      <c r="T179" s="32">
        <f t="shared" si="77"/>
        <v>46128</v>
      </c>
      <c r="U179" s="32">
        <f t="shared" si="78"/>
        <v>46661</v>
      </c>
      <c r="V179" s="32">
        <f t="shared" si="79"/>
        <v>46204</v>
      </c>
      <c r="W179" s="32">
        <f t="shared" si="80"/>
        <v>46661</v>
      </c>
      <c r="X179" s="32">
        <f t="shared" si="81"/>
        <v>46296</v>
      </c>
      <c r="Y179" s="32">
        <f t="shared" si="82"/>
        <v>46661</v>
      </c>
      <c r="Z179" s="32">
        <f t="shared" si="83"/>
        <v>46311</v>
      </c>
      <c r="AA179" s="32">
        <f t="shared" si="84"/>
        <v>46661</v>
      </c>
      <c r="AB179" s="32">
        <f t="shared" si="85"/>
        <v>46388</v>
      </c>
      <c r="AC179" s="32">
        <f t="shared" si="86"/>
        <v>46661</v>
      </c>
      <c r="AD179" s="32">
        <f t="shared" si="87"/>
        <v>46478</v>
      </c>
      <c r="AE179" s="32">
        <f t="shared" si="88"/>
        <v>46661</v>
      </c>
      <c r="AF179" s="32">
        <f t="shared" si="89"/>
        <v>46493</v>
      </c>
      <c r="AG179" s="32">
        <f t="shared" si="90"/>
        <v>46661</v>
      </c>
      <c r="AH179" s="32">
        <f t="shared" si="91"/>
        <v>46569</v>
      </c>
      <c r="AI179" s="32">
        <f t="shared" si="92"/>
        <v>46661</v>
      </c>
      <c r="AJ179" s="32">
        <f t="shared" si="93"/>
        <v>46661</v>
      </c>
      <c r="AK179" s="32" t="str">
        <f t="shared" si="94"/>
        <v/>
      </c>
      <c r="AL179" s="32">
        <f t="shared" si="95"/>
        <v>46676</v>
      </c>
      <c r="AM179" s="32" t="str">
        <f t="shared" si="96"/>
        <v/>
      </c>
      <c r="AN179" s="32">
        <f t="shared" si="97"/>
        <v>46753</v>
      </c>
      <c r="AO179" s="32" t="str">
        <f t="shared" si="98"/>
        <v/>
      </c>
      <c r="AP179" s="32">
        <f t="shared" si="99"/>
        <v>46844</v>
      </c>
      <c r="AQ179" s="32" t="str">
        <f t="shared" si="100"/>
        <v/>
      </c>
      <c r="AR179" s="32">
        <f t="shared" si="101"/>
        <v>46859</v>
      </c>
      <c r="AS179" s="32" t="str">
        <f t="shared" si="102"/>
        <v/>
      </c>
      <c r="AT179" s="32">
        <f t="shared" si="103"/>
        <v>46935</v>
      </c>
      <c r="AU179" s="32" t="str">
        <f t="shared" si="104"/>
        <v/>
      </c>
      <c r="AV179" s="32">
        <f t="shared" si="105"/>
        <v>47027</v>
      </c>
      <c r="AW179" s="32" t="str">
        <f t="shared" si="106"/>
        <v/>
      </c>
      <c r="AX179" s="32">
        <f t="shared" si="107"/>
        <v>47042</v>
      </c>
      <c r="AY179" s="32" t="str">
        <f t="shared" si="108"/>
        <v/>
      </c>
      <c r="AZ179" s="32">
        <f t="shared" si="109"/>
        <v>47119</v>
      </c>
      <c r="BA179" s="32" t="str">
        <f t="shared" si="110"/>
        <v/>
      </c>
      <c r="BB179" s="32">
        <f t="shared" si="111"/>
        <v>47209</v>
      </c>
      <c r="BC179" s="32" t="str">
        <f t="shared" si="112"/>
        <v/>
      </c>
      <c r="BD179" s="32">
        <f t="shared" si="113"/>
        <v>47224</v>
      </c>
      <c r="BE179" s="32" t="str">
        <f t="shared" si="114"/>
        <v/>
      </c>
      <c r="BF179" s="32">
        <f t="shared" si="115"/>
        <v>47300</v>
      </c>
      <c r="BG179" s="32" t="str">
        <f t="shared" si="116"/>
        <v/>
      </c>
      <c r="BH179" s="32">
        <f t="shared" si="117"/>
        <v>47392</v>
      </c>
      <c r="BI179" s="32" t="str">
        <f t="shared" si="118"/>
        <v/>
      </c>
      <c r="BJ179" s="32">
        <f t="shared" si="119"/>
        <v>47407</v>
      </c>
      <c r="BK179" s="32" t="str">
        <f t="shared" si="120"/>
        <v/>
      </c>
      <c r="BL179" s="32" t="str">
        <f t="shared" si="121"/>
        <v/>
      </c>
      <c r="BM179" s="32" t="str">
        <f t="shared" si="122"/>
        <v/>
      </c>
      <c r="BN179" s="32" t="str">
        <f t="shared" si="123"/>
        <v/>
      </c>
      <c r="BO179" s="32" t="str">
        <f t="shared" si="124"/>
        <v/>
      </c>
      <c r="BP179" s="32" t="str">
        <f t="shared" si="125"/>
        <v/>
      </c>
      <c r="BQ179" s="32" t="str">
        <f t="shared" si="126"/>
        <v/>
      </c>
      <c r="BR179" s="32" t="str">
        <f t="shared" si="127"/>
        <v/>
      </c>
      <c r="BS179" s="32" t="str">
        <f t="shared" si="128"/>
        <v/>
      </c>
      <c r="BT179" s="32" t="str">
        <f t="shared" si="129"/>
        <v/>
      </c>
      <c r="BU179" s="32" t="str">
        <f t="shared" si="130"/>
        <v/>
      </c>
      <c r="BV179" s="32" t="str">
        <f t="shared" si="131"/>
        <v/>
      </c>
      <c r="BW179" s="32" t="str">
        <f t="shared" si="132"/>
        <v/>
      </c>
      <c r="BX179" s="32" t="str">
        <f t="shared" si="133"/>
        <v/>
      </c>
      <c r="BY179" s="32" t="str">
        <f t="shared" si="134"/>
        <v/>
      </c>
      <c r="BZ179" s="32" t="str">
        <f t="shared" si="135"/>
        <v/>
      </c>
      <c r="CA179" s="32" t="str">
        <f t="shared" si="136"/>
        <v/>
      </c>
      <c r="CB179" s="32" t="str">
        <f t="shared" si="137"/>
        <v/>
      </c>
      <c r="CC179" s="32" t="str">
        <f t="shared" si="138"/>
        <v/>
      </c>
      <c r="CD179" s="32" t="str">
        <f t="shared" si="139"/>
        <v/>
      </c>
      <c r="CE179" s="32" t="str">
        <f t="shared" si="140"/>
        <v/>
      </c>
      <c r="CF179" s="32" t="str">
        <f t="shared" si="141"/>
        <v/>
      </c>
      <c r="CG179" s="32" t="str">
        <f t="shared" si="142"/>
        <v/>
      </c>
      <c r="CH179" s="32" t="str">
        <f t="shared" si="143"/>
        <v/>
      </c>
      <c r="CI179" s="32" t="str">
        <f t="shared" si="144"/>
        <v/>
      </c>
      <c r="CJ179" s="32" t="str">
        <f t="shared" si="145"/>
        <v/>
      </c>
    </row>
    <row r="180" spans="1:88" x14ac:dyDescent="0.2">
      <c r="A180" s="32">
        <f t="shared" si="146"/>
        <v>46753</v>
      </c>
      <c r="B180" s="32">
        <f t="shared" si="59"/>
        <v>45581</v>
      </c>
      <c r="C180" s="32">
        <f t="shared" si="60"/>
        <v>46753</v>
      </c>
      <c r="D180" s="32">
        <f t="shared" si="61"/>
        <v>45658</v>
      </c>
      <c r="E180" s="32">
        <f t="shared" si="62"/>
        <v>46753</v>
      </c>
      <c r="F180" s="32">
        <f t="shared" si="63"/>
        <v>45748</v>
      </c>
      <c r="G180" s="32">
        <f t="shared" si="64"/>
        <v>46753</v>
      </c>
      <c r="H180" s="32">
        <f t="shared" si="65"/>
        <v>45763</v>
      </c>
      <c r="I180" s="32">
        <f t="shared" si="66"/>
        <v>46753</v>
      </c>
      <c r="J180" s="32">
        <f t="shared" si="67"/>
        <v>45839</v>
      </c>
      <c r="K180" s="32">
        <f t="shared" si="68"/>
        <v>46753</v>
      </c>
      <c r="L180" s="32">
        <f t="shared" si="69"/>
        <v>45931</v>
      </c>
      <c r="M180" s="32">
        <f t="shared" si="70"/>
        <v>46753</v>
      </c>
      <c r="N180" s="32">
        <f t="shared" si="71"/>
        <v>45946</v>
      </c>
      <c r="O180" s="32">
        <f t="shared" si="72"/>
        <v>46753</v>
      </c>
      <c r="P180" s="32">
        <f t="shared" si="73"/>
        <v>46023</v>
      </c>
      <c r="Q180" s="32">
        <f t="shared" si="74"/>
        <v>46753</v>
      </c>
      <c r="R180" s="32">
        <f t="shared" si="75"/>
        <v>46113</v>
      </c>
      <c r="S180" s="32">
        <f t="shared" si="76"/>
        <v>46753</v>
      </c>
      <c r="T180" s="32">
        <f t="shared" si="77"/>
        <v>46128</v>
      </c>
      <c r="U180" s="32">
        <f t="shared" si="78"/>
        <v>46753</v>
      </c>
      <c r="V180" s="32">
        <f t="shared" si="79"/>
        <v>46204</v>
      </c>
      <c r="W180" s="32">
        <f t="shared" si="80"/>
        <v>46753</v>
      </c>
      <c r="X180" s="32">
        <f t="shared" si="81"/>
        <v>46296</v>
      </c>
      <c r="Y180" s="32">
        <f t="shared" si="82"/>
        <v>46753</v>
      </c>
      <c r="Z180" s="32">
        <f t="shared" si="83"/>
        <v>46311</v>
      </c>
      <c r="AA180" s="32">
        <f t="shared" si="84"/>
        <v>46753</v>
      </c>
      <c r="AB180" s="32">
        <f t="shared" si="85"/>
        <v>46388</v>
      </c>
      <c r="AC180" s="32">
        <f t="shared" si="86"/>
        <v>46753</v>
      </c>
      <c r="AD180" s="32">
        <f t="shared" si="87"/>
        <v>46478</v>
      </c>
      <c r="AE180" s="32">
        <f t="shared" si="88"/>
        <v>46753</v>
      </c>
      <c r="AF180" s="32">
        <f t="shared" si="89"/>
        <v>46493</v>
      </c>
      <c r="AG180" s="32">
        <f t="shared" si="90"/>
        <v>46753</v>
      </c>
      <c r="AH180" s="32">
        <f t="shared" si="91"/>
        <v>46569</v>
      </c>
      <c r="AI180" s="32">
        <f t="shared" si="92"/>
        <v>46753</v>
      </c>
      <c r="AJ180" s="32">
        <f t="shared" si="93"/>
        <v>46661</v>
      </c>
      <c r="AK180" s="32">
        <f t="shared" si="94"/>
        <v>46753</v>
      </c>
      <c r="AL180" s="32">
        <f t="shared" si="95"/>
        <v>46676</v>
      </c>
      <c r="AM180" s="32">
        <f t="shared" si="96"/>
        <v>46753</v>
      </c>
      <c r="AN180" s="32">
        <f t="shared" si="97"/>
        <v>46753</v>
      </c>
      <c r="AO180" s="32" t="str">
        <f t="shared" si="98"/>
        <v/>
      </c>
      <c r="AP180" s="32">
        <f t="shared" si="99"/>
        <v>46844</v>
      </c>
      <c r="AQ180" s="32" t="str">
        <f t="shared" si="100"/>
        <v/>
      </c>
      <c r="AR180" s="32">
        <f t="shared" si="101"/>
        <v>46859</v>
      </c>
      <c r="AS180" s="32" t="str">
        <f t="shared" si="102"/>
        <v/>
      </c>
      <c r="AT180" s="32">
        <f t="shared" si="103"/>
        <v>46935</v>
      </c>
      <c r="AU180" s="32" t="str">
        <f t="shared" si="104"/>
        <v/>
      </c>
      <c r="AV180" s="32">
        <f t="shared" si="105"/>
        <v>47027</v>
      </c>
      <c r="AW180" s="32" t="str">
        <f t="shared" si="106"/>
        <v/>
      </c>
      <c r="AX180" s="32">
        <f t="shared" si="107"/>
        <v>47042</v>
      </c>
      <c r="AY180" s="32" t="str">
        <f t="shared" si="108"/>
        <v/>
      </c>
      <c r="AZ180" s="32">
        <f t="shared" si="109"/>
        <v>47119</v>
      </c>
      <c r="BA180" s="32" t="str">
        <f t="shared" si="110"/>
        <v/>
      </c>
      <c r="BB180" s="32">
        <f t="shared" si="111"/>
        <v>47209</v>
      </c>
      <c r="BC180" s="32" t="str">
        <f t="shared" si="112"/>
        <v/>
      </c>
      <c r="BD180" s="32">
        <f t="shared" si="113"/>
        <v>47224</v>
      </c>
      <c r="BE180" s="32" t="str">
        <f t="shared" si="114"/>
        <v/>
      </c>
      <c r="BF180" s="32">
        <f t="shared" si="115"/>
        <v>47300</v>
      </c>
      <c r="BG180" s="32" t="str">
        <f t="shared" si="116"/>
        <v/>
      </c>
      <c r="BH180" s="32">
        <f t="shared" si="117"/>
        <v>47392</v>
      </c>
      <c r="BI180" s="32" t="str">
        <f t="shared" si="118"/>
        <v/>
      </c>
      <c r="BJ180" s="32">
        <f t="shared" si="119"/>
        <v>47407</v>
      </c>
      <c r="BK180" s="32" t="str">
        <f t="shared" si="120"/>
        <v/>
      </c>
      <c r="BL180" s="32" t="str">
        <f t="shared" si="121"/>
        <v/>
      </c>
      <c r="BM180" s="32" t="str">
        <f t="shared" si="122"/>
        <v/>
      </c>
      <c r="BN180" s="32" t="str">
        <f t="shared" si="123"/>
        <v/>
      </c>
      <c r="BO180" s="32" t="str">
        <f t="shared" si="124"/>
        <v/>
      </c>
      <c r="BP180" s="32" t="str">
        <f t="shared" si="125"/>
        <v/>
      </c>
      <c r="BQ180" s="32" t="str">
        <f t="shared" si="126"/>
        <v/>
      </c>
      <c r="BR180" s="32" t="str">
        <f t="shared" si="127"/>
        <v/>
      </c>
      <c r="BS180" s="32" t="str">
        <f t="shared" si="128"/>
        <v/>
      </c>
      <c r="BT180" s="32" t="str">
        <f t="shared" si="129"/>
        <v/>
      </c>
      <c r="BU180" s="32" t="str">
        <f t="shared" si="130"/>
        <v/>
      </c>
      <c r="BV180" s="32" t="str">
        <f t="shared" si="131"/>
        <v/>
      </c>
      <c r="BW180" s="32" t="str">
        <f t="shared" si="132"/>
        <v/>
      </c>
      <c r="BX180" s="32" t="str">
        <f t="shared" si="133"/>
        <v/>
      </c>
      <c r="BY180" s="32" t="str">
        <f t="shared" si="134"/>
        <v/>
      </c>
      <c r="BZ180" s="32" t="str">
        <f t="shared" si="135"/>
        <v/>
      </c>
      <c r="CA180" s="32" t="str">
        <f t="shared" si="136"/>
        <v/>
      </c>
      <c r="CB180" s="32" t="str">
        <f t="shared" si="137"/>
        <v/>
      </c>
      <c r="CC180" s="32" t="str">
        <f t="shared" si="138"/>
        <v/>
      </c>
      <c r="CD180" s="32" t="str">
        <f t="shared" si="139"/>
        <v/>
      </c>
      <c r="CE180" s="32" t="str">
        <f t="shared" si="140"/>
        <v/>
      </c>
      <c r="CF180" s="32" t="str">
        <f t="shared" si="141"/>
        <v/>
      </c>
      <c r="CG180" s="32" t="str">
        <f t="shared" si="142"/>
        <v/>
      </c>
      <c r="CH180" s="32" t="str">
        <f t="shared" si="143"/>
        <v/>
      </c>
      <c r="CI180" s="32" t="str">
        <f t="shared" si="144"/>
        <v/>
      </c>
      <c r="CJ180" s="32" t="str">
        <f t="shared" si="145"/>
        <v/>
      </c>
    </row>
    <row r="181" spans="1:88" x14ac:dyDescent="0.2">
      <c r="A181" s="32">
        <f t="shared" si="146"/>
        <v>46844</v>
      </c>
      <c r="B181" s="32">
        <f t="shared" si="59"/>
        <v>45581</v>
      </c>
      <c r="C181" s="32">
        <f t="shared" si="60"/>
        <v>46844</v>
      </c>
      <c r="D181" s="32">
        <f t="shared" si="61"/>
        <v>45658</v>
      </c>
      <c r="E181" s="32">
        <f t="shared" si="62"/>
        <v>46844</v>
      </c>
      <c r="F181" s="32">
        <f t="shared" si="63"/>
        <v>45748</v>
      </c>
      <c r="G181" s="32">
        <f t="shared" si="64"/>
        <v>46844</v>
      </c>
      <c r="H181" s="32">
        <f t="shared" si="65"/>
        <v>45763</v>
      </c>
      <c r="I181" s="32">
        <f t="shared" si="66"/>
        <v>46844</v>
      </c>
      <c r="J181" s="32">
        <f t="shared" si="67"/>
        <v>45839</v>
      </c>
      <c r="K181" s="32">
        <f t="shared" si="68"/>
        <v>46844</v>
      </c>
      <c r="L181" s="32">
        <f t="shared" si="69"/>
        <v>45931</v>
      </c>
      <c r="M181" s="32">
        <f t="shared" si="70"/>
        <v>46844</v>
      </c>
      <c r="N181" s="32">
        <f t="shared" si="71"/>
        <v>45946</v>
      </c>
      <c r="O181" s="32">
        <f t="shared" si="72"/>
        <v>46844</v>
      </c>
      <c r="P181" s="32">
        <f t="shared" si="73"/>
        <v>46023</v>
      </c>
      <c r="Q181" s="32">
        <f t="shared" si="74"/>
        <v>46844</v>
      </c>
      <c r="R181" s="32">
        <f t="shared" si="75"/>
        <v>46113</v>
      </c>
      <c r="S181" s="32">
        <f t="shared" si="76"/>
        <v>46844</v>
      </c>
      <c r="T181" s="32">
        <f t="shared" si="77"/>
        <v>46128</v>
      </c>
      <c r="U181" s="32">
        <f t="shared" si="78"/>
        <v>46844</v>
      </c>
      <c r="V181" s="32">
        <f t="shared" si="79"/>
        <v>46204</v>
      </c>
      <c r="W181" s="32">
        <f t="shared" si="80"/>
        <v>46844</v>
      </c>
      <c r="X181" s="32">
        <f t="shared" si="81"/>
        <v>46296</v>
      </c>
      <c r="Y181" s="32">
        <f t="shared" si="82"/>
        <v>46844</v>
      </c>
      <c r="Z181" s="32">
        <f t="shared" si="83"/>
        <v>46311</v>
      </c>
      <c r="AA181" s="32">
        <f t="shared" si="84"/>
        <v>46844</v>
      </c>
      <c r="AB181" s="32">
        <f t="shared" si="85"/>
        <v>46388</v>
      </c>
      <c r="AC181" s="32">
        <f t="shared" si="86"/>
        <v>46844</v>
      </c>
      <c r="AD181" s="32">
        <f t="shared" si="87"/>
        <v>46478</v>
      </c>
      <c r="AE181" s="32">
        <f t="shared" si="88"/>
        <v>46844</v>
      </c>
      <c r="AF181" s="32">
        <f t="shared" si="89"/>
        <v>46493</v>
      </c>
      <c r="AG181" s="32">
        <f t="shared" si="90"/>
        <v>46844</v>
      </c>
      <c r="AH181" s="32">
        <f t="shared" si="91"/>
        <v>46569</v>
      </c>
      <c r="AI181" s="32">
        <f t="shared" si="92"/>
        <v>46844</v>
      </c>
      <c r="AJ181" s="32">
        <f t="shared" si="93"/>
        <v>46661</v>
      </c>
      <c r="AK181" s="32">
        <f t="shared" si="94"/>
        <v>46844</v>
      </c>
      <c r="AL181" s="32">
        <f t="shared" si="95"/>
        <v>46676</v>
      </c>
      <c r="AM181" s="32">
        <f t="shared" si="96"/>
        <v>46844</v>
      </c>
      <c r="AN181" s="32">
        <f t="shared" si="97"/>
        <v>46753</v>
      </c>
      <c r="AO181" s="32">
        <f t="shared" si="98"/>
        <v>46844</v>
      </c>
      <c r="AP181" s="32">
        <f t="shared" si="99"/>
        <v>46844</v>
      </c>
      <c r="AQ181" s="32" t="str">
        <f t="shared" si="100"/>
        <v/>
      </c>
      <c r="AR181" s="32">
        <f t="shared" si="101"/>
        <v>46859</v>
      </c>
      <c r="AS181" s="32" t="str">
        <f t="shared" si="102"/>
        <v/>
      </c>
      <c r="AT181" s="32">
        <f t="shared" si="103"/>
        <v>46935</v>
      </c>
      <c r="AU181" s="32" t="str">
        <f t="shared" si="104"/>
        <v/>
      </c>
      <c r="AV181" s="32">
        <f t="shared" si="105"/>
        <v>47027</v>
      </c>
      <c r="AW181" s="32" t="str">
        <f t="shared" si="106"/>
        <v/>
      </c>
      <c r="AX181" s="32">
        <f t="shared" si="107"/>
        <v>47042</v>
      </c>
      <c r="AY181" s="32" t="str">
        <f t="shared" si="108"/>
        <v/>
      </c>
      <c r="AZ181" s="32">
        <f t="shared" si="109"/>
        <v>47119</v>
      </c>
      <c r="BA181" s="32" t="str">
        <f t="shared" si="110"/>
        <v/>
      </c>
      <c r="BB181" s="32">
        <f t="shared" si="111"/>
        <v>47209</v>
      </c>
      <c r="BC181" s="32" t="str">
        <f t="shared" si="112"/>
        <v/>
      </c>
      <c r="BD181" s="32">
        <f t="shared" si="113"/>
        <v>47224</v>
      </c>
      <c r="BE181" s="32" t="str">
        <f t="shared" si="114"/>
        <v/>
      </c>
      <c r="BF181" s="32">
        <f t="shared" si="115"/>
        <v>47300</v>
      </c>
      <c r="BG181" s="32" t="str">
        <f t="shared" si="116"/>
        <v/>
      </c>
      <c r="BH181" s="32">
        <f t="shared" si="117"/>
        <v>47392</v>
      </c>
      <c r="BI181" s="32" t="str">
        <f t="shared" si="118"/>
        <v/>
      </c>
      <c r="BJ181" s="32">
        <f t="shared" si="119"/>
        <v>47407</v>
      </c>
      <c r="BK181" s="32" t="str">
        <f t="shared" si="120"/>
        <v/>
      </c>
      <c r="BL181" s="32" t="str">
        <f t="shared" si="121"/>
        <v/>
      </c>
      <c r="BM181" s="32" t="str">
        <f t="shared" si="122"/>
        <v/>
      </c>
      <c r="BN181" s="32" t="str">
        <f t="shared" si="123"/>
        <v/>
      </c>
      <c r="BO181" s="32" t="str">
        <f t="shared" si="124"/>
        <v/>
      </c>
      <c r="BP181" s="32" t="str">
        <f t="shared" si="125"/>
        <v/>
      </c>
      <c r="BQ181" s="32" t="str">
        <f t="shared" si="126"/>
        <v/>
      </c>
      <c r="BR181" s="32" t="str">
        <f t="shared" si="127"/>
        <v/>
      </c>
      <c r="BS181" s="32" t="str">
        <f t="shared" si="128"/>
        <v/>
      </c>
      <c r="BT181" s="32" t="str">
        <f t="shared" si="129"/>
        <v/>
      </c>
      <c r="BU181" s="32" t="str">
        <f t="shared" si="130"/>
        <v/>
      </c>
      <c r="BV181" s="32" t="str">
        <f t="shared" si="131"/>
        <v/>
      </c>
      <c r="BW181" s="32" t="str">
        <f t="shared" si="132"/>
        <v/>
      </c>
      <c r="BX181" s="32" t="str">
        <f t="shared" si="133"/>
        <v/>
      </c>
      <c r="BY181" s="32" t="str">
        <f t="shared" si="134"/>
        <v/>
      </c>
      <c r="BZ181" s="32" t="str">
        <f t="shared" si="135"/>
        <v/>
      </c>
      <c r="CA181" s="32" t="str">
        <f t="shared" si="136"/>
        <v/>
      </c>
      <c r="CB181" s="32" t="str">
        <f t="shared" si="137"/>
        <v/>
      </c>
      <c r="CC181" s="32" t="str">
        <f t="shared" si="138"/>
        <v/>
      </c>
      <c r="CD181" s="32" t="str">
        <f t="shared" si="139"/>
        <v/>
      </c>
      <c r="CE181" s="32" t="str">
        <f t="shared" si="140"/>
        <v/>
      </c>
      <c r="CF181" s="32" t="str">
        <f t="shared" si="141"/>
        <v/>
      </c>
      <c r="CG181" s="32" t="str">
        <f t="shared" si="142"/>
        <v/>
      </c>
      <c r="CH181" s="32" t="str">
        <f t="shared" si="143"/>
        <v/>
      </c>
      <c r="CI181" s="32" t="str">
        <f t="shared" si="144"/>
        <v/>
      </c>
      <c r="CJ181" s="32" t="str">
        <f t="shared" si="145"/>
        <v/>
      </c>
    </row>
    <row r="182" spans="1:88" x14ac:dyDescent="0.2">
      <c r="A182" s="32">
        <f t="shared" si="146"/>
        <v>46935</v>
      </c>
      <c r="B182" s="32">
        <f t="shared" si="59"/>
        <v>45581</v>
      </c>
      <c r="C182" s="32">
        <f t="shared" si="60"/>
        <v>46935</v>
      </c>
      <c r="D182" s="32">
        <f t="shared" si="61"/>
        <v>45658</v>
      </c>
      <c r="E182" s="32">
        <f t="shared" si="62"/>
        <v>46935</v>
      </c>
      <c r="F182" s="32">
        <f t="shared" si="63"/>
        <v>45748</v>
      </c>
      <c r="G182" s="32">
        <f t="shared" si="64"/>
        <v>46935</v>
      </c>
      <c r="H182" s="32">
        <f t="shared" si="65"/>
        <v>45763</v>
      </c>
      <c r="I182" s="32">
        <f t="shared" si="66"/>
        <v>46935</v>
      </c>
      <c r="J182" s="32">
        <f t="shared" si="67"/>
        <v>45839</v>
      </c>
      <c r="K182" s="32">
        <f t="shared" si="68"/>
        <v>46935</v>
      </c>
      <c r="L182" s="32">
        <f t="shared" si="69"/>
        <v>45931</v>
      </c>
      <c r="M182" s="32">
        <f t="shared" si="70"/>
        <v>46935</v>
      </c>
      <c r="N182" s="32">
        <f t="shared" si="71"/>
        <v>45946</v>
      </c>
      <c r="O182" s="32">
        <f t="shared" si="72"/>
        <v>46935</v>
      </c>
      <c r="P182" s="32">
        <f t="shared" si="73"/>
        <v>46023</v>
      </c>
      <c r="Q182" s="32">
        <f t="shared" si="74"/>
        <v>46935</v>
      </c>
      <c r="R182" s="32">
        <f t="shared" si="75"/>
        <v>46113</v>
      </c>
      <c r="S182" s="32">
        <f t="shared" si="76"/>
        <v>46935</v>
      </c>
      <c r="T182" s="32">
        <f t="shared" si="77"/>
        <v>46128</v>
      </c>
      <c r="U182" s="32">
        <f t="shared" si="78"/>
        <v>46935</v>
      </c>
      <c r="V182" s="32">
        <f t="shared" si="79"/>
        <v>46204</v>
      </c>
      <c r="W182" s="32">
        <f t="shared" si="80"/>
        <v>46935</v>
      </c>
      <c r="X182" s="32">
        <f t="shared" si="81"/>
        <v>46296</v>
      </c>
      <c r="Y182" s="32">
        <f t="shared" si="82"/>
        <v>46935</v>
      </c>
      <c r="Z182" s="32">
        <f t="shared" si="83"/>
        <v>46311</v>
      </c>
      <c r="AA182" s="32">
        <f t="shared" si="84"/>
        <v>46935</v>
      </c>
      <c r="AB182" s="32">
        <f t="shared" si="85"/>
        <v>46388</v>
      </c>
      <c r="AC182" s="32">
        <f t="shared" si="86"/>
        <v>46935</v>
      </c>
      <c r="AD182" s="32">
        <f t="shared" si="87"/>
        <v>46478</v>
      </c>
      <c r="AE182" s="32">
        <f t="shared" si="88"/>
        <v>46935</v>
      </c>
      <c r="AF182" s="32">
        <f t="shared" si="89"/>
        <v>46493</v>
      </c>
      <c r="AG182" s="32">
        <f t="shared" si="90"/>
        <v>46935</v>
      </c>
      <c r="AH182" s="32">
        <f t="shared" si="91"/>
        <v>46569</v>
      </c>
      <c r="AI182" s="32">
        <f t="shared" si="92"/>
        <v>46935</v>
      </c>
      <c r="AJ182" s="32">
        <f t="shared" si="93"/>
        <v>46661</v>
      </c>
      <c r="AK182" s="32">
        <f t="shared" si="94"/>
        <v>46935</v>
      </c>
      <c r="AL182" s="32">
        <f t="shared" si="95"/>
        <v>46676</v>
      </c>
      <c r="AM182" s="32">
        <f t="shared" si="96"/>
        <v>46935</v>
      </c>
      <c r="AN182" s="32">
        <f t="shared" si="97"/>
        <v>46753</v>
      </c>
      <c r="AO182" s="32">
        <f t="shared" si="98"/>
        <v>46935</v>
      </c>
      <c r="AP182" s="32">
        <f t="shared" si="99"/>
        <v>46844</v>
      </c>
      <c r="AQ182" s="32">
        <f t="shared" si="100"/>
        <v>46935</v>
      </c>
      <c r="AR182" s="32">
        <f t="shared" si="101"/>
        <v>46859</v>
      </c>
      <c r="AS182" s="32">
        <f t="shared" si="102"/>
        <v>46935</v>
      </c>
      <c r="AT182" s="32">
        <f t="shared" si="103"/>
        <v>46935</v>
      </c>
      <c r="AU182" s="32" t="str">
        <f t="shared" si="104"/>
        <v/>
      </c>
      <c r="AV182" s="32">
        <f t="shared" si="105"/>
        <v>47027</v>
      </c>
      <c r="AW182" s="32" t="str">
        <f t="shared" si="106"/>
        <v/>
      </c>
      <c r="AX182" s="32">
        <f t="shared" si="107"/>
        <v>47042</v>
      </c>
      <c r="AY182" s="32" t="str">
        <f t="shared" si="108"/>
        <v/>
      </c>
      <c r="AZ182" s="32">
        <f t="shared" si="109"/>
        <v>47119</v>
      </c>
      <c r="BA182" s="32" t="str">
        <f t="shared" si="110"/>
        <v/>
      </c>
      <c r="BB182" s="32">
        <f t="shared" si="111"/>
        <v>47209</v>
      </c>
      <c r="BC182" s="32" t="str">
        <f t="shared" si="112"/>
        <v/>
      </c>
      <c r="BD182" s="32">
        <f t="shared" si="113"/>
        <v>47224</v>
      </c>
      <c r="BE182" s="32" t="str">
        <f t="shared" si="114"/>
        <v/>
      </c>
      <c r="BF182" s="32">
        <f t="shared" si="115"/>
        <v>47300</v>
      </c>
      <c r="BG182" s="32" t="str">
        <f t="shared" si="116"/>
        <v/>
      </c>
      <c r="BH182" s="32">
        <f t="shared" si="117"/>
        <v>47392</v>
      </c>
      <c r="BI182" s="32" t="str">
        <f t="shared" si="118"/>
        <v/>
      </c>
      <c r="BJ182" s="32">
        <f t="shared" si="119"/>
        <v>47407</v>
      </c>
      <c r="BK182" s="32" t="str">
        <f t="shared" si="120"/>
        <v/>
      </c>
      <c r="BL182" s="32" t="str">
        <f t="shared" si="121"/>
        <v/>
      </c>
      <c r="BM182" s="32" t="str">
        <f t="shared" si="122"/>
        <v/>
      </c>
      <c r="BN182" s="32" t="str">
        <f t="shared" si="123"/>
        <v/>
      </c>
      <c r="BO182" s="32" t="str">
        <f t="shared" si="124"/>
        <v/>
      </c>
      <c r="BP182" s="32" t="str">
        <f t="shared" si="125"/>
        <v/>
      </c>
      <c r="BQ182" s="32" t="str">
        <f t="shared" si="126"/>
        <v/>
      </c>
      <c r="BR182" s="32" t="str">
        <f t="shared" si="127"/>
        <v/>
      </c>
      <c r="BS182" s="32" t="str">
        <f t="shared" si="128"/>
        <v/>
      </c>
      <c r="BT182" s="32" t="str">
        <f t="shared" si="129"/>
        <v/>
      </c>
      <c r="BU182" s="32" t="str">
        <f t="shared" si="130"/>
        <v/>
      </c>
      <c r="BV182" s="32" t="str">
        <f t="shared" si="131"/>
        <v/>
      </c>
      <c r="BW182" s="32" t="str">
        <f t="shared" si="132"/>
        <v/>
      </c>
      <c r="BX182" s="32" t="str">
        <f t="shared" si="133"/>
        <v/>
      </c>
      <c r="BY182" s="32" t="str">
        <f t="shared" si="134"/>
        <v/>
      </c>
      <c r="BZ182" s="32" t="str">
        <f t="shared" si="135"/>
        <v/>
      </c>
      <c r="CA182" s="32" t="str">
        <f t="shared" si="136"/>
        <v/>
      </c>
      <c r="CB182" s="32" t="str">
        <f t="shared" si="137"/>
        <v/>
      </c>
      <c r="CC182" s="32" t="str">
        <f t="shared" si="138"/>
        <v/>
      </c>
      <c r="CD182" s="32" t="str">
        <f t="shared" si="139"/>
        <v/>
      </c>
      <c r="CE182" s="32" t="str">
        <f t="shared" si="140"/>
        <v/>
      </c>
      <c r="CF182" s="32" t="str">
        <f t="shared" si="141"/>
        <v/>
      </c>
      <c r="CG182" s="32" t="str">
        <f t="shared" si="142"/>
        <v/>
      </c>
      <c r="CH182" s="32" t="str">
        <f t="shared" si="143"/>
        <v/>
      </c>
      <c r="CI182" s="32" t="str">
        <f t="shared" si="144"/>
        <v/>
      </c>
      <c r="CJ182" s="32" t="str">
        <f t="shared" si="145"/>
        <v/>
      </c>
    </row>
    <row r="183" spans="1:88" x14ac:dyDescent="0.2">
      <c r="A183" s="32">
        <f t="shared" si="146"/>
        <v>47027</v>
      </c>
      <c r="B183" s="32">
        <f t="shared" si="59"/>
        <v>45581</v>
      </c>
      <c r="C183" s="32">
        <f t="shared" si="60"/>
        <v>47027</v>
      </c>
      <c r="D183" s="32">
        <f t="shared" si="61"/>
        <v>45658</v>
      </c>
      <c r="E183" s="32">
        <f t="shared" si="62"/>
        <v>47027</v>
      </c>
      <c r="F183" s="32">
        <f t="shared" si="63"/>
        <v>45748</v>
      </c>
      <c r="G183" s="32">
        <f t="shared" si="64"/>
        <v>47027</v>
      </c>
      <c r="H183" s="32">
        <f t="shared" si="65"/>
        <v>45763</v>
      </c>
      <c r="I183" s="32">
        <f t="shared" si="66"/>
        <v>47027</v>
      </c>
      <c r="J183" s="32">
        <f t="shared" si="67"/>
        <v>45839</v>
      </c>
      <c r="K183" s="32">
        <f t="shared" si="68"/>
        <v>47027</v>
      </c>
      <c r="L183" s="32">
        <f t="shared" si="69"/>
        <v>45931</v>
      </c>
      <c r="M183" s="32">
        <f t="shared" si="70"/>
        <v>47027</v>
      </c>
      <c r="N183" s="32">
        <f t="shared" si="71"/>
        <v>45946</v>
      </c>
      <c r="O183" s="32">
        <f t="shared" si="72"/>
        <v>47027</v>
      </c>
      <c r="P183" s="32">
        <f t="shared" si="73"/>
        <v>46023</v>
      </c>
      <c r="Q183" s="32">
        <f t="shared" si="74"/>
        <v>47027</v>
      </c>
      <c r="R183" s="32">
        <f t="shared" si="75"/>
        <v>46113</v>
      </c>
      <c r="S183" s="32">
        <f t="shared" si="76"/>
        <v>47027</v>
      </c>
      <c r="T183" s="32">
        <f t="shared" si="77"/>
        <v>46128</v>
      </c>
      <c r="U183" s="32">
        <f t="shared" si="78"/>
        <v>47027</v>
      </c>
      <c r="V183" s="32">
        <f t="shared" si="79"/>
        <v>46204</v>
      </c>
      <c r="W183" s="32">
        <f t="shared" si="80"/>
        <v>47027</v>
      </c>
      <c r="X183" s="32">
        <f t="shared" si="81"/>
        <v>46296</v>
      </c>
      <c r="Y183" s="32">
        <f t="shared" si="82"/>
        <v>47027</v>
      </c>
      <c r="Z183" s="32">
        <f t="shared" si="83"/>
        <v>46311</v>
      </c>
      <c r="AA183" s="32">
        <f t="shared" si="84"/>
        <v>47027</v>
      </c>
      <c r="AB183" s="32">
        <f t="shared" si="85"/>
        <v>46388</v>
      </c>
      <c r="AC183" s="32">
        <f t="shared" si="86"/>
        <v>47027</v>
      </c>
      <c r="AD183" s="32">
        <f t="shared" si="87"/>
        <v>46478</v>
      </c>
      <c r="AE183" s="32">
        <f t="shared" si="88"/>
        <v>47027</v>
      </c>
      <c r="AF183" s="32">
        <f t="shared" si="89"/>
        <v>46493</v>
      </c>
      <c r="AG183" s="32">
        <f t="shared" si="90"/>
        <v>47027</v>
      </c>
      <c r="AH183" s="32">
        <f t="shared" si="91"/>
        <v>46569</v>
      </c>
      <c r="AI183" s="32">
        <f t="shared" si="92"/>
        <v>47027</v>
      </c>
      <c r="AJ183" s="32">
        <f t="shared" si="93"/>
        <v>46661</v>
      </c>
      <c r="AK183" s="32">
        <f t="shared" si="94"/>
        <v>47027</v>
      </c>
      <c r="AL183" s="32">
        <f t="shared" si="95"/>
        <v>46676</v>
      </c>
      <c r="AM183" s="32">
        <f t="shared" si="96"/>
        <v>47027</v>
      </c>
      <c r="AN183" s="32">
        <f t="shared" si="97"/>
        <v>46753</v>
      </c>
      <c r="AO183" s="32">
        <f t="shared" si="98"/>
        <v>47027</v>
      </c>
      <c r="AP183" s="32">
        <f t="shared" si="99"/>
        <v>46844</v>
      </c>
      <c r="AQ183" s="32">
        <f t="shared" si="100"/>
        <v>47027</v>
      </c>
      <c r="AR183" s="32">
        <f t="shared" si="101"/>
        <v>46859</v>
      </c>
      <c r="AS183" s="32">
        <f t="shared" si="102"/>
        <v>47027</v>
      </c>
      <c r="AT183" s="32">
        <f t="shared" si="103"/>
        <v>46935</v>
      </c>
      <c r="AU183" s="32">
        <f t="shared" si="104"/>
        <v>47027</v>
      </c>
      <c r="AV183" s="32">
        <f t="shared" si="105"/>
        <v>47027</v>
      </c>
      <c r="AW183" s="32" t="str">
        <f t="shared" si="106"/>
        <v/>
      </c>
      <c r="AX183" s="32">
        <f t="shared" si="107"/>
        <v>47042</v>
      </c>
      <c r="AY183" s="32" t="str">
        <f t="shared" si="108"/>
        <v/>
      </c>
      <c r="AZ183" s="32">
        <f t="shared" si="109"/>
        <v>47119</v>
      </c>
      <c r="BA183" s="32" t="str">
        <f t="shared" si="110"/>
        <v/>
      </c>
      <c r="BB183" s="32">
        <f t="shared" si="111"/>
        <v>47209</v>
      </c>
      <c r="BC183" s="32" t="str">
        <f t="shared" si="112"/>
        <v/>
      </c>
      <c r="BD183" s="32">
        <f t="shared" si="113"/>
        <v>47224</v>
      </c>
      <c r="BE183" s="32" t="str">
        <f t="shared" si="114"/>
        <v/>
      </c>
      <c r="BF183" s="32">
        <f t="shared" si="115"/>
        <v>47300</v>
      </c>
      <c r="BG183" s="32" t="str">
        <f t="shared" si="116"/>
        <v/>
      </c>
      <c r="BH183" s="32">
        <f t="shared" si="117"/>
        <v>47392</v>
      </c>
      <c r="BI183" s="32" t="str">
        <f t="shared" si="118"/>
        <v/>
      </c>
      <c r="BJ183" s="32">
        <f t="shared" si="119"/>
        <v>47407</v>
      </c>
      <c r="BK183" s="32" t="str">
        <f t="shared" si="120"/>
        <v/>
      </c>
      <c r="BL183" s="32" t="str">
        <f t="shared" si="121"/>
        <v/>
      </c>
      <c r="BM183" s="32" t="str">
        <f t="shared" si="122"/>
        <v/>
      </c>
      <c r="BN183" s="32" t="str">
        <f t="shared" si="123"/>
        <v/>
      </c>
      <c r="BO183" s="32" t="str">
        <f t="shared" si="124"/>
        <v/>
      </c>
      <c r="BP183" s="32" t="str">
        <f t="shared" si="125"/>
        <v/>
      </c>
      <c r="BQ183" s="32" t="str">
        <f t="shared" si="126"/>
        <v/>
      </c>
      <c r="BR183" s="32" t="str">
        <f t="shared" si="127"/>
        <v/>
      </c>
      <c r="BS183" s="32" t="str">
        <f t="shared" si="128"/>
        <v/>
      </c>
      <c r="BT183" s="32" t="str">
        <f t="shared" si="129"/>
        <v/>
      </c>
      <c r="BU183" s="32" t="str">
        <f t="shared" si="130"/>
        <v/>
      </c>
      <c r="BV183" s="32" t="str">
        <f t="shared" si="131"/>
        <v/>
      </c>
      <c r="BW183" s="32" t="str">
        <f t="shared" si="132"/>
        <v/>
      </c>
      <c r="BX183" s="32" t="str">
        <f t="shared" si="133"/>
        <v/>
      </c>
      <c r="BY183" s="32" t="str">
        <f t="shared" si="134"/>
        <v/>
      </c>
      <c r="BZ183" s="32" t="str">
        <f t="shared" si="135"/>
        <v/>
      </c>
      <c r="CA183" s="32" t="str">
        <f t="shared" si="136"/>
        <v/>
      </c>
      <c r="CB183" s="32" t="str">
        <f t="shared" si="137"/>
        <v/>
      </c>
      <c r="CC183" s="32" t="str">
        <f t="shared" si="138"/>
        <v/>
      </c>
      <c r="CD183" s="32" t="str">
        <f t="shared" si="139"/>
        <v/>
      </c>
      <c r="CE183" s="32" t="str">
        <f t="shared" si="140"/>
        <v/>
      </c>
      <c r="CF183" s="32" t="str">
        <f t="shared" si="141"/>
        <v/>
      </c>
      <c r="CG183" s="32" t="str">
        <f t="shared" si="142"/>
        <v/>
      </c>
      <c r="CH183" s="32" t="str">
        <f t="shared" si="143"/>
        <v/>
      </c>
      <c r="CI183" s="32" t="str">
        <f t="shared" si="144"/>
        <v/>
      </c>
      <c r="CJ183" s="32" t="str">
        <f t="shared" si="145"/>
        <v/>
      </c>
    </row>
    <row r="184" spans="1:88" x14ac:dyDescent="0.2">
      <c r="A184" s="32">
        <f t="shared" si="146"/>
        <v>47119</v>
      </c>
      <c r="B184" s="32">
        <f t="shared" si="59"/>
        <v>45581</v>
      </c>
      <c r="C184" s="32">
        <f t="shared" si="60"/>
        <v>47119</v>
      </c>
      <c r="D184" s="32">
        <f t="shared" si="61"/>
        <v>45658</v>
      </c>
      <c r="E184" s="32">
        <f t="shared" si="62"/>
        <v>47119</v>
      </c>
      <c r="F184" s="32">
        <f t="shared" si="63"/>
        <v>45748</v>
      </c>
      <c r="G184" s="32">
        <f t="shared" si="64"/>
        <v>47119</v>
      </c>
      <c r="H184" s="32">
        <f t="shared" si="65"/>
        <v>45763</v>
      </c>
      <c r="I184" s="32">
        <f t="shared" si="66"/>
        <v>47119</v>
      </c>
      <c r="J184" s="32">
        <f t="shared" si="67"/>
        <v>45839</v>
      </c>
      <c r="K184" s="32">
        <f t="shared" si="68"/>
        <v>47119</v>
      </c>
      <c r="L184" s="32">
        <f t="shared" si="69"/>
        <v>45931</v>
      </c>
      <c r="M184" s="32">
        <f t="shared" si="70"/>
        <v>47119</v>
      </c>
      <c r="N184" s="32">
        <f t="shared" si="71"/>
        <v>45946</v>
      </c>
      <c r="O184" s="32">
        <f t="shared" si="72"/>
        <v>47119</v>
      </c>
      <c r="P184" s="32">
        <f t="shared" si="73"/>
        <v>46023</v>
      </c>
      <c r="Q184" s="32">
        <f t="shared" si="74"/>
        <v>47119</v>
      </c>
      <c r="R184" s="32">
        <f t="shared" si="75"/>
        <v>46113</v>
      </c>
      <c r="S184" s="32">
        <f t="shared" si="76"/>
        <v>47119</v>
      </c>
      <c r="T184" s="32">
        <f t="shared" si="77"/>
        <v>46128</v>
      </c>
      <c r="U184" s="32">
        <f t="shared" si="78"/>
        <v>47119</v>
      </c>
      <c r="V184" s="32">
        <f t="shared" si="79"/>
        <v>46204</v>
      </c>
      <c r="W184" s="32">
        <f t="shared" si="80"/>
        <v>47119</v>
      </c>
      <c r="X184" s="32">
        <f t="shared" si="81"/>
        <v>46296</v>
      </c>
      <c r="Y184" s="32">
        <f t="shared" si="82"/>
        <v>47119</v>
      </c>
      <c r="Z184" s="32">
        <f t="shared" si="83"/>
        <v>46311</v>
      </c>
      <c r="AA184" s="32">
        <f t="shared" si="84"/>
        <v>47119</v>
      </c>
      <c r="AB184" s="32">
        <f t="shared" si="85"/>
        <v>46388</v>
      </c>
      <c r="AC184" s="32">
        <f t="shared" si="86"/>
        <v>47119</v>
      </c>
      <c r="AD184" s="32">
        <f t="shared" si="87"/>
        <v>46478</v>
      </c>
      <c r="AE184" s="32">
        <f t="shared" si="88"/>
        <v>47119</v>
      </c>
      <c r="AF184" s="32">
        <f t="shared" si="89"/>
        <v>46493</v>
      </c>
      <c r="AG184" s="32">
        <f t="shared" si="90"/>
        <v>47119</v>
      </c>
      <c r="AH184" s="32">
        <f t="shared" si="91"/>
        <v>46569</v>
      </c>
      <c r="AI184" s="32">
        <f t="shared" si="92"/>
        <v>47119</v>
      </c>
      <c r="AJ184" s="32">
        <f t="shared" si="93"/>
        <v>46661</v>
      </c>
      <c r="AK184" s="32">
        <f t="shared" si="94"/>
        <v>47119</v>
      </c>
      <c r="AL184" s="32">
        <f t="shared" si="95"/>
        <v>46676</v>
      </c>
      <c r="AM184" s="32">
        <f t="shared" si="96"/>
        <v>47119</v>
      </c>
      <c r="AN184" s="32">
        <f t="shared" si="97"/>
        <v>46753</v>
      </c>
      <c r="AO184" s="32">
        <f t="shared" si="98"/>
        <v>47119</v>
      </c>
      <c r="AP184" s="32">
        <f t="shared" si="99"/>
        <v>46844</v>
      </c>
      <c r="AQ184" s="32">
        <f t="shared" si="100"/>
        <v>47119</v>
      </c>
      <c r="AR184" s="32">
        <f t="shared" si="101"/>
        <v>46859</v>
      </c>
      <c r="AS184" s="32">
        <f t="shared" si="102"/>
        <v>47119</v>
      </c>
      <c r="AT184" s="32">
        <f t="shared" si="103"/>
        <v>46935</v>
      </c>
      <c r="AU184" s="32">
        <f t="shared" si="104"/>
        <v>47119</v>
      </c>
      <c r="AV184" s="32">
        <f t="shared" si="105"/>
        <v>47027</v>
      </c>
      <c r="AW184" s="32">
        <f t="shared" si="106"/>
        <v>47119</v>
      </c>
      <c r="AX184" s="32">
        <f t="shared" si="107"/>
        <v>47042</v>
      </c>
      <c r="AY184" s="32">
        <f t="shared" si="108"/>
        <v>47119</v>
      </c>
      <c r="AZ184" s="32">
        <f t="shared" si="109"/>
        <v>47119</v>
      </c>
      <c r="BA184" s="32" t="str">
        <f t="shared" si="110"/>
        <v/>
      </c>
      <c r="BB184" s="32">
        <f t="shared" si="111"/>
        <v>47209</v>
      </c>
      <c r="BC184" s="32" t="str">
        <f t="shared" si="112"/>
        <v/>
      </c>
      <c r="BD184" s="32">
        <f t="shared" si="113"/>
        <v>47224</v>
      </c>
      <c r="BE184" s="32" t="str">
        <f t="shared" si="114"/>
        <v/>
      </c>
      <c r="BF184" s="32">
        <f t="shared" si="115"/>
        <v>47300</v>
      </c>
      <c r="BG184" s="32" t="str">
        <f t="shared" si="116"/>
        <v/>
      </c>
      <c r="BH184" s="32">
        <f t="shared" si="117"/>
        <v>47392</v>
      </c>
      <c r="BI184" s="32" t="str">
        <f t="shared" si="118"/>
        <v/>
      </c>
      <c r="BJ184" s="32">
        <f t="shared" si="119"/>
        <v>47407</v>
      </c>
      <c r="BK184" s="32" t="str">
        <f t="shared" si="120"/>
        <v/>
      </c>
      <c r="BL184" s="32" t="str">
        <f t="shared" si="121"/>
        <v/>
      </c>
      <c r="BM184" s="32" t="str">
        <f t="shared" si="122"/>
        <v/>
      </c>
      <c r="BN184" s="32" t="str">
        <f t="shared" si="123"/>
        <v/>
      </c>
      <c r="BO184" s="32" t="str">
        <f t="shared" si="124"/>
        <v/>
      </c>
      <c r="BP184" s="32" t="str">
        <f t="shared" si="125"/>
        <v/>
      </c>
      <c r="BQ184" s="32" t="str">
        <f t="shared" si="126"/>
        <v/>
      </c>
      <c r="BR184" s="32" t="str">
        <f t="shared" si="127"/>
        <v/>
      </c>
      <c r="BS184" s="32" t="str">
        <f t="shared" si="128"/>
        <v/>
      </c>
      <c r="BT184" s="32" t="str">
        <f t="shared" si="129"/>
        <v/>
      </c>
      <c r="BU184" s="32" t="str">
        <f t="shared" si="130"/>
        <v/>
      </c>
      <c r="BV184" s="32" t="str">
        <f t="shared" si="131"/>
        <v/>
      </c>
      <c r="BW184" s="32" t="str">
        <f t="shared" si="132"/>
        <v/>
      </c>
      <c r="BX184" s="32" t="str">
        <f t="shared" si="133"/>
        <v/>
      </c>
      <c r="BY184" s="32" t="str">
        <f t="shared" si="134"/>
        <v/>
      </c>
      <c r="BZ184" s="32" t="str">
        <f t="shared" si="135"/>
        <v/>
      </c>
      <c r="CA184" s="32" t="str">
        <f t="shared" si="136"/>
        <v/>
      </c>
      <c r="CB184" s="32" t="str">
        <f t="shared" si="137"/>
        <v/>
      </c>
      <c r="CC184" s="32" t="str">
        <f t="shared" si="138"/>
        <v/>
      </c>
      <c r="CD184" s="32" t="str">
        <f t="shared" si="139"/>
        <v/>
      </c>
      <c r="CE184" s="32" t="str">
        <f t="shared" si="140"/>
        <v/>
      </c>
      <c r="CF184" s="32" t="str">
        <f t="shared" si="141"/>
        <v/>
      </c>
      <c r="CG184" s="32" t="str">
        <f t="shared" si="142"/>
        <v/>
      </c>
      <c r="CH184" s="32" t="str">
        <f t="shared" si="143"/>
        <v/>
      </c>
      <c r="CI184" s="32" t="str">
        <f t="shared" si="144"/>
        <v/>
      </c>
      <c r="CJ184" s="32" t="str">
        <f t="shared" si="145"/>
        <v/>
      </c>
    </row>
    <row r="185" spans="1:88" x14ac:dyDescent="0.2">
      <c r="A185" s="32">
        <f t="shared" si="146"/>
        <v>47209</v>
      </c>
      <c r="B185" s="32">
        <f t="shared" si="59"/>
        <v>45581</v>
      </c>
      <c r="C185" s="32">
        <f t="shared" si="60"/>
        <v>47209</v>
      </c>
      <c r="D185" s="32">
        <f t="shared" si="61"/>
        <v>45658</v>
      </c>
      <c r="E185" s="32">
        <f t="shared" si="62"/>
        <v>47209</v>
      </c>
      <c r="F185" s="32">
        <f t="shared" si="63"/>
        <v>45748</v>
      </c>
      <c r="G185" s="32">
        <f t="shared" si="64"/>
        <v>47209</v>
      </c>
      <c r="H185" s="32">
        <f t="shared" si="65"/>
        <v>45763</v>
      </c>
      <c r="I185" s="32">
        <f t="shared" si="66"/>
        <v>47209</v>
      </c>
      <c r="J185" s="32">
        <f t="shared" si="67"/>
        <v>45839</v>
      </c>
      <c r="K185" s="32">
        <f t="shared" si="68"/>
        <v>47209</v>
      </c>
      <c r="L185" s="32">
        <f t="shared" si="69"/>
        <v>45931</v>
      </c>
      <c r="M185" s="32">
        <f t="shared" si="70"/>
        <v>47209</v>
      </c>
      <c r="N185" s="32">
        <f t="shared" si="71"/>
        <v>45946</v>
      </c>
      <c r="O185" s="32">
        <f t="shared" si="72"/>
        <v>47209</v>
      </c>
      <c r="P185" s="32">
        <f t="shared" si="73"/>
        <v>46023</v>
      </c>
      <c r="Q185" s="32">
        <f t="shared" si="74"/>
        <v>47209</v>
      </c>
      <c r="R185" s="32">
        <f t="shared" si="75"/>
        <v>46113</v>
      </c>
      <c r="S185" s="32">
        <f t="shared" si="76"/>
        <v>47209</v>
      </c>
      <c r="T185" s="32">
        <f t="shared" si="77"/>
        <v>46128</v>
      </c>
      <c r="U185" s="32">
        <f t="shared" si="78"/>
        <v>47209</v>
      </c>
      <c r="V185" s="32">
        <f t="shared" si="79"/>
        <v>46204</v>
      </c>
      <c r="W185" s="32">
        <f t="shared" si="80"/>
        <v>47209</v>
      </c>
      <c r="X185" s="32">
        <f t="shared" si="81"/>
        <v>46296</v>
      </c>
      <c r="Y185" s="32">
        <f t="shared" si="82"/>
        <v>47209</v>
      </c>
      <c r="Z185" s="32">
        <f t="shared" si="83"/>
        <v>46311</v>
      </c>
      <c r="AA185" s="32">
        <f t="shared" si="84"/>
        <v>47209</v>
      </c>
      <c r="AB185" s="32">
        <f t="shared" si="85"/>
        <v>46388</v>
      </c>
      <c r="AC185" s="32">
        <f t="shared" si="86"/>
        <v>47209</v>
      </c>
      <c r="AD185" s="32">
        <f t="shared" si="87"/>
        <v>46478</v>
      </c>
      <c r="AE185" s="32">
        <f t="shared" si="88"/>
        <v>47209</v>
      </c>
      <c r="AF185" s="32">
        <f t="shared" si="89"/>
        <v>46493</v>
      </c>
      <c r="AG185" s="32">
        <f t="shared" si="90"/>
        <v>47209</v>
      </c>
      <c r="AH185" s="32">
        <f t="shared" si="91"/>
        <v>46569</v>
      </c>
      <c r="AI185" s="32">
        <f t="shared" si="92"/>
        <v>47209</v>
      </c>
      <c r="AJ185" s="32">
        <f t="shared" si="93"/>
        <v>46661</v>
      </c>
      <c r="AK185" s="32">
        <f t="shared" si="94"/>
        <v>47209</v>
      </c>
      <c r="AL185" s="32">
        <f t="shared" si="95"/>
        <v>46676</v>
      </c>
      <c r="AM185" s="32">
        <f t="shared" si="96"/>
        <v>47209</v>
      </c>
      <c r="AN185" s="32">
        <f t="shared" si="97"/>
        <v>46753</v>
      </c>
      <c r="AO185" s="32">
        <f t="shared" si="98"/>
        <v>47209</v>
      </c>
      <c r="AP185" s="32">
        <f t="shared" si="99"/>
        <v>46844</v>
      </c>
      <c r="AQ185" s="32">
        <f t="shared" si="100"/>
        <v>47209</v>
      </c>
      <c r="AR185" s="32">
        <f t="shared" si="101"/>
        <v>46859</v>
      </c>
      <c r="AS185" s="32">
        <f t="shared" si="102"/>
        <v>47209</v>
      </c>
      <c r="AT185" s="32">
        <f t="shared" si="103"/>
        <v>46935</v>
      </c>
      <c r="AU185" s="32">
        <f t="shared" si="104"/>
        <v>47209</v>
      </c>
      <c r="AV185" s="32">
        <f t="shared" si="105"/>
        <v>47027</v>
      </c>
      <c r="AW185" s="32">
        <f t="shared" si="106"/>
        <v>47209</v>
      </c>
      <c r="AX185" s="32">
        <f t="shared" si="107"/>
        <v>47042</v>
      </c>
      <c r="AY185" s="32">
        <f t="shared" si="108"/>
        <v>47209</v>
      </c>
      <c r="AZ185" s="32">
        <f t="shared" si="109"/>
        <v>47119</v>
      </c>
      <c r="BA185" s="32">
        <f t="shared" si="110"/>
        <v>47209</v>
      </c>
      <c r="BB185" s="32">
        <f t="shared" si="111"/>
        <v>47209</v>
      </c>
      <c r="BC185" s="32" t="str">
        <f t="shared" si="112"/>
        <v/>
      </c>
      <c r="BD185" s="32">
        <f t="shared" si="113"/>
        <v>47224</v>
      </c>
      <c r="BE185" s="32" t="str">
        <f t="shared" si="114"/>
        <v/>
      </c>
      <c r="BF185" s="32">
        <f t="shared" si="115"/>
        <v>47300</v>
      </c>
      <c r="BG185" s="32" t="str">
        <f t="shared" si="116"/>
        <v/>
      </c>
      <c r="BH185" s="32">
        <f t="shared" si="117"/>
        <v>47392</v>
      </c>
      <c r="BI185" s="32" t="str">
        <f t="shared" si="118"/>
        <v/>
      </c>
      <c r="BJ185" s="32">
        <f t="shared" si="119"/>
        <v>47407</v>
      </c>
      <c r="BK185" s="32" t="str">
        <f t="shared" si="120"/>
        <v/>
      </c>
      <c r="BL185" s="32" t="str">
        <f t="shared" si="121"/>
        <v/>
      </c>
      <c r="BM185" s="32" t="str">
        <f t="shared" si="122"/>
        <v/>
      </c>
      <c r="BN185" s="32" t="str">
        <f t="shared" si="123"/>
        <v/>
      </c>
      <c r="BO185" s="32" t="str">
        <f t="shared" si="124"/>
        <v/>
      </c>
      <c r="BP185" s="32" t="str">
        <f t="shared" si="125"/>
        <v/>
      </c>
      <c r="BQ185" s="32" t="str">
        <f t="shared" si="126"/>
        <v/>
      </c>
      <c r="BR185" s="32" t="str">
        <f t="shared" si="127"/>
        <v/>
      </c>
      <c r="BS185" s="32" t="str">
        <f t="shared" si="128"/>
        <v/>
      </c>
      <c r="BT185" s="32" t="str">
        <f t="shared" si="129"/>
        <v/>
      </c>
      <c r="BU185" s="32" t="str">
        <f t="shared" si="130"/>
        <v/>
      </c>
      <c r="BV185" s="32" t="str">
        <f t="shared" si="131"/>
        <v/>
      </c>
      <c r="BW185" s="32" t="str">
        <f t="shared" si="132"/>
        <v/>
      </c>
      <c r="BX185" s="32" t="str">
        <f t="shared" si="133"/>
        <v/>
      </c>
      <c r="BY185" s="32" t="str">
        <f t="shared" si="134"/>
        <v/>
      </c>
      <c r="BZ185" s="32" t="str">
        <f t="shared" si="135"/>
        <v/>
      </c>
      <c r="CA185" s="32" t="str">
        <f t="shared" si="136"/>
        <v/>
      </c>
      <c r="CB185" s="32" t="str">
        <f t="shared" si="137"/>
        <v/>
      </c>
      <c r="CC185" s="32" t="str">
        <f t="shared" si="138"/>
        <v/>
      </c>
      <c r="CD185" s="32" t="str">
        <f t="shared" si="139"/>
        <v/>
      </c>
      <c r="CE185" s="32" t="str">
        <f t="shared" si="140"/>
        <v/>
      </c>
      <c r="CF185" s="32" t="str">
        <f t="shared" si="141"/>
        <v/>
      </c>
      <c r="CG185" s="32" t="str">
        <f t="shared" si="142"/>
        <v/>
      </c>
      <c r="CH185" s="32" t="str">
        <f t="shared" si="143"/>
        <v/>
      </c>
      <c r="CI185" s="32" t="str">
        <f t="shared" si="144"/>
        <v/>
      </c>
      <c r="CJ185" s="32" t="str">
        <f t="shared" si="145"/>
        <v/>
      </c>
    </row>
    <row r="186" spans="1:88" x14ac:dyDescent="0.2">
      <c r="A186" s="32">
        <f t="shared" si="146"/>
        <v>47300</v>
      </c>
      <c r="B186" s="32">
        <f t="shared" si="59"/>
        <v>45581</v>
      </c>
      <c r="C186" s="32">
        <f t="shared" si="60"/>
        <v>47300</v>
      </c>
      <c r="D186" s="32">
        <f t="shared" si="61"/>
        <v>45658</v>
      </c>
      <c r="E186" s="32">
        <f t="shared" si="62"/>
        <v>47300</v>
      </c>
      <c r="F186" s="32">
        <f t="shared" si="63"/>
        <v>45748</v>
      </c>
      <c r="G186" s="32">
        <f t="shared" si="64"/>
        <v>47300</v>
      </c>
      <c r="H186" s="32">
        <f t="shared" si="65"/>
        <v>45763</v>
      </c>
      <c r="I186" s="32">
        <f t="shared" si="66"/>
        <v>47300</v>
      </c>
      <c r="J186" s="32">
        <f t="shared" si="67"/>
        <v>45839</v>
      </c>
      <c r="K186" s="32">
        <f t="shared" si="68"/>
        <v>47300</v>
      </c>
      <c r="L186" s="32">
        <f t="shared" si="69"/>
        <v>45931</v>
      </c>
      <c r="M186" s="32">
        <f t="shared" si="70"/>
        <v>47300</v>
      </c>
      <c r="N186" s="32">
        <f t="shared" si="71"/>
        <v>45946</v>
      </c>
      <c r="O186" s="32">
        <f t="shared" si="72"/>
        <v>47300</v>
      </c>
      <c r="P186" s="32">
        <f t="shared" si="73"/>
        <v>46023</v>
      </c>
      <c r="Q186" s="32">
        <f t="shared" si="74"/>
        <v>47300</v>
      </c>
      <c r="R186" s="32">
        <f t="shared" si="75"/>
        <v>46113</v>
      </c>
      <c r="S186" s="32">
        <f t="shared" si="76"/>
        <v>47300</v>
      </c>
      <c r="T186" s="32">
        <f t="shared" si="77"/>
        <v>46128</v>
      </c>
      <c r="U186" s="32">
        <f t="shared" si="78"/>
        <v>47300</v>
      </c>
      <c r="V186" s="32">
        <f t="shared" si="79"/>
        <v>46204</v>
      </c>
      <c r="W186" s="32">
        <f t="shared" si="80"/>
        <v>47300</v>
      </c>
      <c r="X186" s="32">
        <f t="shared" si="81"/>
        <v>46296</v>
      </c>
      <c r="Y186" s="32">
        <f t="shared" si="82"/>
        <v>47300</v>
      </c>
      <c r="Z186" s="32">
        <f t="shared" si="83"/>
        <v>46311</v>
      </c>
      <c r="AA186" s="32">
        <f t="shared" si="84"/>
        <v>47300</v>
      </c>
      <c r="AB186" s="32">
        <f t="shared" si="85"/>
        <v>46388</v>
      </c>
      <c r="AC186" s="32">
        <f t="shared" si="86"/>
        <v>47300</v>
      </c>
      <c r="AD186" s="32">
        <f t="shared" si="87"/>
        <v>46478</v>
      </c>
      <c r="AE186" s="32">
        <f t="shared" si="88"/>
        <v>47300</v>
      </c>
      <c r="AF186" s="32">
        <f t="shared" si="89"/>
        <v>46493</v>
      </c>
      <c r="AG186" s="32">
        <f t="shared" si="90"/>
        <v>47300</v>
      </c>
      <c r="AH186" s="32">
        <f t="shared" si="91"/>
        <v>46569</v>
      </c>
      <c r="AI186" s="32">
        <f t="shared" si="92"/>
        <v>47300</v>
      </c>
      <c r="AJ186" s="32">
        <f t="shared" si="93"/>
        <v>46661</v>
      </c>
      <c r="AK186" s="32">
        <f t="shared" si="94"/>
        <v>47300</v>
      </c>
      <c r="AL186" s="32">
        <f t="shared" si="95"/>
        <v>46676</v>
      </c>
      <c r="AM186" s="32">
        <f t="shared" si="96"/>
        <v>47300</v>
      </c>
      <c r="AN186" s="32">
        <f t="shared" si="97"/>
        <v>46753</v>
      </c>
      <c r="AO186" s="32">
        <f t="shared" si="98"/>
        <v>47300</v>
      </c>
      <c r="AP186" s="32">
        <f t="shared" si="99"/>
        <v>46844</v>
      </c>
      <c r="AQ186" s="32">
        <f t="shared" si="100"/>
        <v>47300</v>
      </c>
      <c r="AR186" s="32">
        <f t="shared" si="101"/>
        <v>46859</v>
      </c>
      <c r="AS186" s="32">
        <f t="shared" si="102"/>
        <v>47300</v>
      </c>
      <c r="AT186" s="32">
        <f t="shared" si="103"/>
        <v>46935</v>
      </c>
      <c r="AU186" s="32">
        <f t="shared" si="104"/>
        <v>47300</v>
      </c>
      <c r="AV186" s="32">
        <f t="shared" si="105"/>
        <v>47027</v>
      </c>
      <c r="AW186" s="32">
        <f t="shared" si="106"/>
        <v>47300</v>
      </c>
      <c r="AX186" s="32">
        <f t="shared" si="107"/>
        <v>47042</v>
      </c>
      <c r="AY186" s="32">
        <f t="shared" si="108"/>
        <v>47300</v>
      </c>
      <c r="AZ186" s="32">
        <f t="shared" si="109"/>
        <v>47119</v>
      </c>
      <c r="BA186" s="32">
        <f t="shared" si="110"/>
        <v>47300</v>
      </c>
      <c r="BB186" s="32">
        <f t="shared" si="111"/>
        <v>47209</v>
      </c>
      <c r="BC186" s="32">
        <f t="shared" si="112"/>
        <v>47300</v>
      </c>
      <c r="BD186" s="32">
        <f t="shared" si="113"/>
        <v>47224</v>
      </c>
      <c r="BE186" s="32">
        <f t="shared" si="114"/>
        <v>47300</v>
      </c>
      <c r="BF186" s="32">
        <f t="shared" si="115"/>
        <v>47300</v>
      </c>
      <c r="BG186" s="32" t="str">
        <f t="shared" si="116"/>
        <v/>
      </c>
      <c r="BH186" s="32">
        <f t="shared" si="117"/>
        <v>47392</v>
      </c>
      <c r="BI186" s="32" t="str">
        <f t="shared" si="118"/>
        <v/>
      </c>
      <c r="BJ186" s="32">
        <f t="shared" si="119"/>
        <v>47407</v>
      </c>
      <c r="BK186" s="32" t="str">
        <f t="shared" si="120"/>
        <v/>
      </c>
      <c r="BL186" s="32" t="str">
        <f t="shared" si="121"/>
        <v/>
      </c>
      <c r="BM186" s="32" t="str">
        <f t="shared" si="122"/>
        <v/>
      </c>
      <c r="BN186" s="32" t="str">
        <f t="shared" si="123"/>
        <v/>
      </c>
      <c r="BO186" s="32" t="str">
        <f t="shared" si="124"/>
        <v/>
      </c>
      <c r="BP186" s="32" t="str">
        <f t="shared" si="125"/>
        <v/>
      </c>
      <c r="BQ186" s="32" t="str">
        <f t="shared" si="126"/>
        <v/>
      </c>
      <c r="BR186" s="32" t="str">
        <f t="shared" si="127"/>
        <v/>
      </c>
      <c r="BS186" s="32" t="str">
        <f t="shared" si="128"/>
        <v/>
      </c>
      <c r="BT186" s="32" t="str">
        <f t="shared" si="129"/>
        <v/>
      </c>
      <c r="BU186" s="32" t="str">
        <f t="shared" si="130"/>
        <v/>
      </c>
      <c r="BV186" s="32" t="str">
        <f t="shared" si="131"/>
        <v/>
      </c>
      <c r="BW186" s="32" t="str">
        <f t="shared" si="132"/>
        <v/>
      </c>
      <c r="BX186" s="32" t="str">
        <f t="shared" si="133"/>
        <v/>
      </c>
      <c r="BY186" s="32" t="str">
        <f t="shared" si="134"/>
        <v/>
      </c>
      <c r="BZ186" s="32" t="str">
        <f t="shared" si="135"/>
        <v/>
      </c>
      <c r="CA186" s="32" t="str">
        <f t="shared" si="136"/>
        <v/>
      </c>
      <c r="CB186" s="32" t="str">
        <f t="shared" si="137"/>
        <v/>
      </c>
      <c r="CC186" s="32" t="str">
        <f t="shared" si="138"/>
        <v/>
      </c>
      <c r="CD186" s="32" t="str">
        <f t="shared" si="139"/>
        <v/>
      </c>
      <c r="CE186" s="32" t="str">
        <f t="shared" si="140"/>
        <v/>
      </c>
      <c r="CF186" s="32" t="str">
        <f t="shared" si="141"/>
        <v/>
      </c>
      <c r="CG186" s="32" t="str">
        <f t="shared" si="142"/>
        <v/>
      </c>
      <c r="CH186" s="32" t="str">
        <f t="shared" si="143"/>
        <v/>
      </c>
      <c r="CI186" s="32" t="str">
        <f t="shared" si="144"/>
        <v/>
      </c>
      <c r="CJ186" s="32" t="str">
        <f t="shared" si="145"/>
        <v/>
      </c>
    </row>
    <row r="187" spans="1:88" x14ac:dyDescent="0.2">
      <c r="A187" s="32">
        <f t="shared" si="146"/>
        <v>47392</v>
      </c>
      <c r="B187" s="32">
        <f t="shared" si="59"/>
        <v>45581</v>
      </c>
      <c r="C187" s="32">
        <f t="shared" si="60"/>
        <v>47392</v>
      </c>
      <c r="D187" s="32">
        <f t="shared" si="61"/>
        <v>45658</v>
      </c>
      <c r="E187" s="32">
        <f t="shared" si="62"/>
        <v>47392</v>
      </c>
      <c r="F187" s="32">
        <f t="shared" si="63"/>
        <v>45748</v>
      </c>
      <c r="G187" s="32">
        <f t="shared" si="64"/>
        <v>47392</v>
      </c>
      <c r="H187" s="32">
        <f t="shared" si="65"/>
        <v>45763</v>
      </c>
      <c r="I187" s="32">
        <f t="shared" si="66"/>
        <v>47392</v>
      </c>
      <c r="J187" s="32">
        <f t="shared" si="67"/>
        <v>45839</v>
      </c>
      <c r="K187" s="32">
        <f t="shared" si="68"/>
        <v>47392</v>
      </c>
      <c r="L187" s="32">
        <f t="shared" si="69"/>
        <v>45931</v>
      </c>
      <c r="M187" s="32">
        <f t="shared" si="70"/>
        <v>47392</v>
      </c>
      <c r="N187" s="32">
        <f t="shared" si="71"/>
        <v>45946</v>
      </c>
      <c r="O187" s="32">
        <f t="shared" si="72"/>
        <v>47392</v>
      </c>
      <c r="P187" s="32">
        <f t="shared" si="73"/>
        <v>46023</v>
      </c>
      <c r="Q187" s="32">
        <f t="shared" si="74"/>
        <v>47392</v>
      </c>
      <c r="R187" s="32">
        <f t="shared" si="75"/>
        <v>46113</v>
      </c>
      <c r="S187" s="32">
        <f t="shared" si="76"/>
        <v>47392</v>
      </c>
      <c r="T187" s="32">
        <f t="shared" si="77"/>
        <v>46128</v>
      </c>
      <c r="U187" s="32">
        <f t="shared" si="78"/>
        <v>47392</v>
      </c>
      <c r="V187" s="32">
        <f t="shared" si="79"/>
        <v>46204</v>
      </c>
      <c r="W187" s="32">
        <f t="shared" si="80"/>
        <v>47392</v>
      </c>
      <c r="X187" s="32">
        <f t="shared" si="81"/>
        <v>46296</v>
      </c>
      <c r="Y187" s="32">
        <f t="shared" si="82"/>
        <v>47392</v>
      </c>
      <c r="Z187" s="32">
        <f t="shared" si="83"/>
        <v>46311</v>
      </c>
      <c r="AA187" s="32">
        <f t="shared" si="84"/>
        <v>47392</v>
      </c>
      <c r="AB187" s="32">
        <f t="shared" si="85"/>
        <v>46388</v>
      </c>
      <c r="AC187" s="32">
        <f t="shared" si="86"/>
        <v>47392</v>
      </c>
      <c r="AD187" s="32">
        <f t="shared" si="87"/>
        <v>46478</v>
      </c>
      <c r="AE187" s="32">
        <f t="shared" si="88"/>
        <v>47392</v>
      </c>
      <c r="AF187" s="32">
        <f t="shared" si="89"/>
        <v>46493</v>
      </c>
      <c r="AG187" s="32">
        <f t="shared" si="90"/>
        <v>47392</v>
      </c>
      <c r="AH187" s="32">
        <f t="shared" si="91"/>
        <v>46569</v>
      </c>
      <c r="AI187" s="32">
        <f t="shared" si="92"/>
        <v>47392</v>
      </c>
      <c r="AJ187" s="32">
        <f t="shared" si="93"/>
        <v>46661</v>
      </c>
      <c r="AK187" s="32">
        <f t="shared" si="94"/>
        <v>47392</v>
      </c>
      <c r="AL187" s="32">
        <f t="shared" si="95"/>
        <v>46676</v>
      </c>
      <c r="AM187" s="32">
        <f t="shared" si="96"/>
        <v>47392</v>
      </c>
      <c r="AN187" s="32">
        <f t="shared" si="97"/>
        <v>46753</v>
      </c>
      <c r="AO187" s="32">
        <f t="shared" si="98"/>
        <v>47392</v>
      </c>
      <c r="AP187" s="32">
        <f t="shared" si="99"/>
        <v>46844</v>
      </c>
      <c r="AQ187" s="32">
        <f t="shared" si="100"/>
        <v>47392</v>
      </c>
      <c r="AR187" s="32">
        <f t="shared" si="101"/>
        <v>46859</v>
      </c>
      <c r="AS187" s="32">
        <f t="shared" si="102"/>
        <v>47392</v>
      </c>
      <c r="AT187" s="32">
        <f t="shared" si="103"/>
        <v>46935</v>
      </c>
      <c r="AU187" s="32">
        <f t="shared" si="104"/>
        <v>47392</v>
      </c>
      <c r="AV187" s="32">
        <f t="shared" si="105"/>
        <v>47027</v>
      </c>
      <c r="AW187" s="32">
        <f t="shared" si="106"/>
        <v>47392</v>
      </c>
      <c r="AX187" s="32">
        <f t="shared" si="107"/>
        <v>47042</v>
      </c>
      <c r="AY187" s="32">
        <f t="shared" si="108"/>
        <v>47392</v>
      </c>
      <c r="AZ187" s="32">
        <f t="shared" si="109"/>
        <v>47119</v>
      </c>
      <c r="BA187" s="32">
        <f t="shared" si="110"/>
        <v>47392</v>
      </c>
      <c r="BB187" s="32">
        <f t="shared" si="111"/>
        <v>47209</v>
      </c>
      <c r="BC187" s="32">
        <f t="shared" si="112"/>
        <v>47392</v>
      </c>
      <c r="BD187" s="32">
        <f t="shared" si="113"/>
        <v>47224</v>
      </c>
      <c r="BE187" s="32">
        <f t="shared" si="114"/>
        <v>47392</v>
      </c>
      <c r="BF187" s="32">
        <f t="shared" si="115"/>
        <v>47300</v>
      </c>
      <c r="BG187" s="32">
        <f t="shared" si="116"/>
        <v>47392</v>
      </c>
      <c r="BH187" s="32">
        <f t="shared" si="117"/>
        <v>47392</v>
      </c>
      <c r="BI187" s="32" t="str">
        <f t="shared" si="118"/>
        <v/>
      </c>
      <c r="BJ187" s="32">
        <f t="shared" si="119"/>
        <v>47407</v>
      </c>
      <c r="BK187" s="32" t="str">
        <f t="shared" si="120"/>
        <v/>
      </c>
      <c r="BL187" s="32" t="str">
        <f t="shared" si="121"/>
        <v/>
      </c>
      <c r="BM187" s="32" t="str">
        <f t="shared" si="122"/>
        <v/>
      </c>
      <c r="BN187" s="32" t="str">
        <f t="shared" si="123"/>
        <v/>
      </c>
      <c r="BO187" s="32" t="str">
        <f t="shared" si="124"/>
        <v/>
      </c>
      <c r="BP187" s="32" t="str">
        <f t="shared" si="125"/>
        <v/>
      </c>
      <c r="BQ187" s="32" t="str">
        <f t="shared" si="126"/>
        <v/>
      </c>
      <c r="BR187" s="32" t="str">
        <f t="shared" si="127"/>
        <v/>
      </c>
      <c r="BS187" s="32" t="str">
        <f t="shared" si="128"/>
        <v/>
      </c>
      <c r="BT187" s="32" t="str">
        <f t="shared" si="129"/>
        <v/>
      </c>
      <c r="BU187" s="32" t="str">
        <f t="shared" si="130"/>
        <v/>
      </c>
      <c r="BV187" s="32" t="str">
        <f t="shared" si="131"/>
        <v/>
      </c>
      <c r="BW187" s="32" t="str">
        <f t="shared" si="132"/>
        <v/>
      </c>
      <c r="BX187" s="32" t="str">
        <f t="shared" si="133"/>
        <v/>
      </c>
      <c r="BY187" s="32" t="str">
        <f t="shared" si="134"/>
        <v/>
      </c>
      <c r="BZ187" s="32" t="str">
        <f t="shared" si="135"/>
        <v/>
      </c>
      <c r="CA187" s="32" t="str">
        <f t="shared" si="136"/>
        <v/>
      </c>
      <c r="CB187" s="32" t="str">
        <f t="shared" si="137"/>
        <v/>
      </c>
      <c r="CC187" s="32" t="str">
        <f t="shared" si="138"/>
        <v/>
      </c>
      <c r="CD187" s="32" t="str">
        <f t="shared" si="139"/>
        <v/>
      </c>
      <c r="CE187" s="32" t="str">
        <f t="shared" si="140"/>
        <v/>
      </c>
      <c r="CF187" s="32" t="str">
        <f t="shared" si="141"/>
        <v/>
      </c>
      <c r="CG187" s="32" t="str">
        <f t="shared" si="142"/>
        <v/>
      </c>
      <c r="CH187" s="32" t="str">
        <f t="shared" si="143"/>
        <v/>
      </c>
      <c r="CI187" s="32" t="str">
        <f t="shared" si="144"/>
        <v/>
      </c>
      <c r="CJ187" s="32" t="str">
        <f t="shared" si="145"/>
        <v/>
      </c>
    </row>
    <row r="188" spans="1:88" x14ac:dyDescent="0.2">
      <c r="A188" s="32" t="str">
        <f t="shared" si="146"/>
        <v/>
      </c>
      <c r="B188" s="32">
        <f t="shared" si="59"/>
        <v>45581</v>
      </c>
      <c r="C188" s="32" t="str">
        <f t="shared" si="60"/>
        <v/>
      </c>
      <c r="D188" s="32">
        <f t="shared" si="61"/>
        <v>45658</v>
      </c>
      <c r="E188" s="32" t="str">
        <f t="shared" si="62"/>
        <v/>
      </c>
      <c r="F188" s="32">
        <f t="shared" si="63"/>
        <v>45748</v>
      </c>
      <c r="G188" s="32" t="str">
        <f t="shared" si="64"/>
        <v/>
      </c>
      <c r="H188" s="32">
        <f t="shared" si="65"/>
        <v>45763</v>
      </c>
      <c r="I188" s="32" t="str">
        <f t="shared" si="66"/>
        <v/>
      </c>
      <c r="J188" s="32">
        <f t="shared" si="67"/>
        <v>45839</v>
      </c>
      <c r="K188" s="32" t="str">
        <f t="shared" si="68"/>
        <v/>
      </c>
      <c r="L188" s="32">
        <f t="shared" si="69"/>
        <v>45931</v>
      </c>
      <c r="M188" s="32" t="str">
        <f t="shared" si="70"/>
        <v/>
      </c>
      <c r="N188" s="32">
        <f t="shared" si="71"/>
        <v>45946</v>
      </c>
      <c r="O188" s="32" t="str">
        <f t="shared" si="72"/>
        <v/>
      </c>
      <c r="P188" s="32">
        <f t="shared" si="73"/>
        <v>46023</v>
      </c>
      <c r="Q188" s="32" t="str">
        <f t="shared" si="74"/>
        <v/>
      </c>
      <c r="R188" s="32">
        <f t="shared" si="75"/>
        <v>46113</v>
      </c>
      <c r="S188" s="32" t="str">
        <f t="shared" si="76"/>
        <v/>
      </c>
      <c r="T188" s="32">
        <f t="shared" si="77"/>
        <v>46128</v>
      </c>
      <c r="U188" s="32" t="str">
        <f t="shared" si="78"/>
        <v/>
      </c>
      <c r="V188" s="32">
        <f t="shared" si="79"/>
        <v>46204</v>
      </c>
      <c r="W188" s="32" t="str">
        <f t="shared" si="80"/>
        <v/>
      </c>
      <c r="X188" s="32">
        <f t="shared" si="81"/>
        <v>46296</v>
      </c>
      <c r="Y188" s="32" t="str">
        <f t="shared" si="82"/>
        <v/>
      </c>
      <c r="Z188" s="32">
        <f t="shared" si="83"/>
        <v>46311</v>
      </c>
      <c r="AA188" s="32" t="str">
        <f t="shared" si="84"/>
        <v/>
      </c>
      <c r="AB188" s="32">
        <f t="shared" si="85"/>
        <v>46388</v>
      </c>
      <c r="AC188" s="32" t="str">
        <f t="shared" si="86"/>
        <v/>
      </c>
      <c r="AD188" s="32">
        <f t="shared" si="87"/>
        <v>46478</v>
      </c>
      <c r="AE188" s="32" t="str">
        <f t="shared" si="88"/>
        <v/>
      </c>
      <c r="AF188" s="32">
        <f t="shared" si="89"/>
        <v>46493</v>
      </c>
      <c r="AG188" s="32" t="str">
        <f t="shared" si="90"/>
        <v/>
      </c>
      <c r="AH188" s="32">
        <f t="shared" si="91"/>
        <v>46569</v>
      </c>
      <c r="AI188" s="32" t="str">
        <f t="shared" si="92"/>
        <v/>
      </c>
      <c r="AJ188" s="32">
        <f t="shared" si="93"/>
        <v>46661</v>
      </c>
      <c r="AK188" s="32" t="str">
        <f t="shared" si="94"/>
        <v/>
      </c>
      <c r="AL188" s="32">
        <f t="shared" si="95"/>
        <v>46676</v>
      </c>
      <c r="AM188" s="32" t="str">
        <f t="shared" si="96"/>
        <v/>
      </c>
      <c r="AN188" s="32">
        <f t="shared" si="97"/>
        <v>46753</v>
      </c>
      <c r="AO188" s="32" t="str">
        <f t="shared" si="98"/>
        <v/>
      </c>
      <c r="AP188" s="32">
        <f t="shared" si="99"/>
        <v>46844</v>
      </c>
      <c r="AQ188" s="32" t="str">
        <f t="shared" si="100"/>
        <v/>
      </c>
      <c r="AR188" s="32">
        <f t="shared" si="101"/>
        <v>46859</v>
      </c>
      <c r="AS188" s="32" t="str">
        <f t="shared" si="102"/>
        <v/>
      </c>
      <c r="AT188" s="32">
        <f t="shared" si="103"/>
        <v>46935</v>
      </c>
      <c r="AU188" s="32" t="str">
        <f t="shared" si="104"/>
        <v/>
      </c>
      <c r="AV188" s="32">
        <f t="shared" si="105"/>
        <v>47027</v>
      </c>
      <c r="AW188" s="32" t="str">
        <f t="shared" si="106"/>
        <v/>
      </c>
      <c r="AX188" s="32">
        <f t="shared" si="107"/>
        <v>47042</v>
      </c>
      <c r="AY188" s="32" t="str">
        <f t="shared" si="108"/>
        <v/>
      </c>
      <c r="AZ188" s="32">
        <f t="shared" si="109"/>
        <v>47119</v>
      </c>
      <c r="BA188" s="32" t="str">
        <f t="shared" si="110"/>
        <v/>
      </c>
      <c r="BB188" s="32">
        <f t="shared" si="111"/>
        <v>47209</v>
      </c>
      <c r="BC188" s="32" t="str">
        <f t="shared" si="112"/>
        <v/>
      </c>
      <c r="BD188" s="32">
        <f t="shared" si="113"/>
        <v>47224</v>
      </c>
      <c r="BE188" s="32" t="str">
        <f t="shared" si="114"/>
        <v/>
      </c>
      <c r="BF188" s="32">
        <f t="shared" si="115"/>
        <v>47300</v>
      </c>
      <c r="BG188" s="32" t="str">
        <f t="shared" si="116"/>
        <v/>
      </c>
      <c r="BH188" s="32">
        <f t="shared" si="117"/>
        <v>47392</v>
      </c>
      <c r="BI188" s="32" t="str">
        <f t="shared" si="118"/>
        <v/>
      </c>
      <c r="BJ188" s="32">
        <f t="shared" si="119"/>
        <v>47407</v>
      </c>
      <c r="BK188" s="32" t="str">
        <f t="shared" si="120"/>
        <v/>
      </c>
      <c r="BL188" s="32" t="str">
        <f t="shared" si="121"/>
        <v/>
      </c>
      <c r="BM188" s="32" t="str">
        <f t="shared" si="122"/>
        <v/>
      </c>
      <c r="BN188" s="32" t="str">
        <f t="shared" si="123"/>
        <v/>
      </c>
      <c r="BO188" s="32" t="str">
        <f t="shared" si="124"/>
        <v/>
      </c>
      <c r="BP188" s="32" t="str">
        <f t="shared" si="125"/>
        <v/>
      </c>
      <c r="BQ188" s="32" t="str">
        <f t="shared" si="126"/>
        <v/>
      </c>
      <c r="BR188" s="32" t="str">
        <f t="shared" si="127"/>
        <v/>
      </c>
      <c r="BS188" s="32" t="str">
        <f t="shared" si="128"/>
        <v/>
      </c>
      <c r="BT188" s="32" t="str">
        <f t="shared" si="129"/>
        <v/>
      </c>
      <c r="BU188" s="32" t="str">
        <f t="shared" si="130"/>
        <v/>
      </c>
      <c r="BV188" s="32" t="str">
        <f t="shared" si="131"/>
        <v/>
      </c>
      <c r="BW188" s="32" t="str">
        <f t="shared" si="132"/>
        <v/>
      </c>
      <c r="BX188" s="32" t="str">
        <f t="shared" si="133"/>
        <v/>
      </c>
      <c r="BY188" s="32" t="str">
        <f t="shared" si="134"/>
        <v/>
      </c>
      <c r="BZ188" s="32" t="str">
        <f t="shared" si="135"/>
        <v/>
      </c>
      <c r="CA188" s="32" t="str">
        <f t="shared" si="136"/>
        <v/>
      </c>
      <c r="CB188" s="32" t="str">
        <f t="shared" si="137"/>
        <v/>
      </c>
      <c r="CC188" s="32" t="str">
        <f t="shared" si="138"/>
        <v/>
      </c>
      <c r="CD188" s="32" t="str">
        <f t="shared" si="139"/>
        <v/>
      </c>
      <c r="CE188" s="32" t="str">
        <f t="shared" si="140"/>
        <v/>
      </c>
      <c r="CF188" s="32" t="str">
        <f t="shared" si="141"/>
        <v/>
      </c>
      <c r="CG188" s="32" t="str">
        <f t="shared" si="142"/>
        <v/>
      </c>
      <c r="CH188" s="32" t="str">
        <f t="shared" si="143"/>
        <v/>
      </c>
      <c r="CI188" s="32" t="str">
        <f t="shared" si="144"/>
        <v/>
      </c>
      <c r="CJ188" s="32" t="str">
        <f t="shared" si="145"/>
        <v/>
      </c>
    </row>
    <row r="189" spans="1:88" x14ac:dyDescent="0.2">
      <c r="A189" s="32" t="str">
        <f t="shared" si="146"/>
        <v/>
      </c>
      <c r="B189" s="32">
        <f t="shared" si="59"/>
        <v>45581</v>
      </c>
      <c r="C189" s="32" t="str">
        <f t="shared" si="60"/>
        <v/>
      </c>
      <c r="D189" s="32">
        <f t="shared" si="61"/>
        <v>45658</v>
      </c>
      <c r="E189" s="32" t="str">
        <f t="shared" si="62"/>
        <v/>
      </c>
      <c r="F189" s="32">
        <f t="shared" si="63"/>
        <v>45748</v>
      </c>
      <c r="G189" s="32" t="str">
        <f t="shared" si="64"/>
        <v/>
      </c>
      <c r="H189" s="32">
        <f t="shared" si="65"/>
        <v>45763</v>
      </c>
      <c r="I189" s="32" t="str">
        <f t="shared" si="66"/>
        <v/>
      </c>
      <c r="J189" s="32">
        <f t="shared" si="67"/>
        <v>45839</v>
      </c>
      <c r="K189" s="32" t="str">
        <f t="shared" si="68"/>
        <v/>
      </c>
      <c r="L189" s="32">
        <f t="shared" si="69"/>
        <v>45931</v>
      </c>
      <c r="M189" s="32" t="str">
        <f t="shared" si="70"/>
        <v/>
      </c>
      <c r="N189" s="32">
        <f t="shared" si="71"/>
        <v>45946</v>
      </c>
      <c r="O189" s="32" t="str">
        <f t="shared" si="72"/>
        <v/>
      </c>
      <c r="P189" s="32">
        <f t="shared" si="73"/>
        <v>46023</v>
      </c>
      <c r="Q189" s="32" t="str">
        <f t="shared" si="74"/>
        <v/>
      </c>
      <c r="R189" s="32">
        <f t="shared" si="75"/>
        <v>46113</v>
      </c>
      <c r="S189" s="32" t="str">
        <f t="shared" si="76"/>
        <v/>
      </c>
      <c r="T189" s="32">
        <f t="shared" si="77"/>
        <v>46128</v>
      </c>
      <c r="U189" s="32" t="str">
        <f t="shared" si="78"/>
        <v/>
      </c>
      <c r="V189" s="32">
        <f t="shared" si="79"/>
        <v>46204</v>
      </c>
      <c r="W189" s="32" t="str">
        <f t="shared" si="80"/>
        <v/>
      </c>
      <c r="X189" s="32">
        <f t="shared" si="81"/>
        <v>46296</v>
      </c>
      <c r="Y189" s="32" t="str">
        <f t="shared" si="82"/>
        <v/>
      </c>
      <c r="Z189" s="32">
        <f t="shared" si="83"/>
        <v>46311</v>
      </c>
      <c r="AA189" s="32" t="str">
        <f t="shared" si="84"/>
        <v/>
      </c>
      <c r="AB189" s="32">
        <f t="shared" si="85"/>
        <v>46388</v>
      </c>
      <c r="AC189" s="32" t="str">
        <f t="shared" si="86"/>
        <v/>
      </c>
      <c r="AD189" s="32">
        <f t="shared" si="87"/>
        <v>46478</v>
      </c>
      <c r="AE189" s="32" t="str">
        <f t="shared" si="88"/>
        <v/>
      </c>
      <c r="AF189" s="32">
        <f t="shared" si="89"/>
        <v>46493</v>
      </c>
      <c r="AG189" s="32" t="str">
        <f t="shared" si="90"/>
        <v/>
      </c>
      <c r="AH189" s="32">
        <f t="shared" si="91"/>
        <v>46569</v>
      </c>
      <c r="AI189" s="32" t="str">
        <f t="shared" si="92"/>
        <v/>
      </c>
      <c r="AJ189" s="32">
        <f t="shared" si="93"/>
        <v>46661</v>
      </c>
      <c r="AK189" s="32" t="str">
        <f t="shared" si="94"/>
        <v/>
      </c>
      <c r="AL189" s="32">
        <f t="shared" si="95"/>
        <v>46676</v>
      </c>
      <c r="AM189" s="32" t="str">
        <f t="shared" si="96"/>
        <v/>
      </c>
      <c r="AN189" s="32">
        <f t="shared" si="97"/>
        <v>46753</v>
      </c>
      <c r="AO189" s="32" t="str">
        <f t="shared" si="98"/>
        <v/>
      </c>
      <c r="AP189" s="32">
        <f t="shared" si="99"/>
        <v>46844</v>
      </c>
      <c r="AQ189" s="32" t="str">
        <f t="shared" si="100"/>
        <v/>
      </c>
      <c r="AR189" s="32">
        <f t="shared" si="101"/>
        <v>46859</v>
      </c>
      <c r="AS189" s="32" t="str">
        <f t="shared" si="102"/>
        <v/>
      </c>
      <c r="AT189" s="32">
        <f t="shared" si="103"/>
        <v>46935</v>
      </c>
      <c r="AU189" s="32" t="str">
        <f t="shared" si="104"/>
        <v/>
      </c>
      <c r="AV189" s="32">
        <f t="shared" si="105"/>
        <v>47027</v>
      </c>
      <c r="AW189" s="32" t="str">
        <f t="shared" si="106"/>
        <v/>
      </c>
      <c r="AX189" s="32">
        <f t="shared" si="107"/>
        <v>47042</v>
      </c>
      <c r="AY189" s="32" t="str">
        <f t="shared" si="108"/>
        <v/>
      </c>
      <c r="AZ189" s="32">
        <f t="shared" si="109"/>
        <v>47119</v>
      </c>
      <c r="BA189" s="32" t="str">
        <f t="shared" si="110"/>
        <v/>
      </c>
      <c r="BB189" s="32">
        <f t="shared" si="111"/>
        <v>47209</v>
      </c>
      <c r="BC189" s="32" t="str">
        <f t="shared" si="112"/>
        <v/>
      </c>
      <c r="BD189" s="32">
        <f t="shared" si="113"/>
        <v>47224</v>
      </c>
      <c r="BE189" s="32" t="str">
        <f t="shared" si="114"/>
        <v/>
      </c>
      <c r="BF189" s="32">
        <f t="shared" si="115"/>
        <v>47300</v>
      </c>
      <c r="BG189" s="32" t="str">
        <f t="shared" si="116"/>
        <v/>
      </c>
      <c r="BH189" s="32">
        <f t="shared" si="117"/>
        <v>47392</v>
      </c>
      <c r="BI189" s="32" t="str">
        <f t="shared" si="118"/>
        <v/>
      </c>
      <c r="BJ189" s="32">
        <f t="shared" si="119"/>
        <v>47407</v>
      </c>
      <c r="BK189" s="32" t="str">
        <f t="shared" si="120"/>
        <v/>
      </c>
      <c r="BL189" s="32" t="str">
        <f t="shared" si="121"/>
        <v/>
      </c>
      <c r="BM189" s="32" t="str">
        <f t="shared" si="122"/>
        <v/>
      </c>
      <c r="BN189" s="32" t="str">
        <f t="shared" si="123"/>
        <v/>
      </c>
      <c r="BO189" s="32" t="str">
        <f t="shared" si="124"/>
        <v/>
      </c>
      <c r="BP189" s="32" t="str">
        <f t="shared" si="125"/>
        <v/>
      </c>
      <c r="BQ189" s="32" t="str">
        <f t="shared" si="126"/>
        <v/>
      </c>
      <c r="BR189" s="32" t="str">
        <f t="shared" si="127"/>
        <v/>
      </c>
      <c r="BS189" s="32" t="str">
        <f t="shared" si="128"/>
        <v/>
      </c>
      <c r="BT189" s="32" t="str">
        <f t="shared" si="129"/>
        <v/>
      </c>
      <c r="BU189" s="32" t="str">
        <f t="shared" si="130"/>
        <v/>
      </c>
      <c r="BV189" s="32" t="str">
        <f t="shared" si="131"/>
        <v/>
      </c>
      <c r="BW189" s="32" t="str">
        <f t="shared" si="132"/>
        <v/>
      </c>
      <c r="BX189" s="32" t="str">
        <f t="shared" si="133"/>
        <v/>
      </c>
      <c r="BY189" s="32" t="str">
        <f t="shared" si="134"/>
        <v/>
      </c>
      <c r="BZ189" s="32" t="str">
        <f t="shared" si="135"/>
        <v/>
      </c>
      <c r="CA189" s="32" t="str">
        <f t="shared" si="136"/>
        <v/>
      </c>
      <c r="CB189" s="32" t="str">
        <f t="shared" si="137"/>
        <v/>
      </c>
      <c r="CC189" s="32" t="str">
        <f t="shared" si="138"/>
        <v/>
      </c>
      <c r="CD189" s="32" t="str">
        <f t="shared" si="139"/>
        <v/>
      </c>
      <c r="CE189" s="32" t="str">
        <f t="shared" si="140"/>
        <v/>
      </c>
      <c r="CF189" s="32" t="str">
        <f t="shared" si="141"/>
        <v/>
      </c>
      <c r="CG189" s="32" t="str">
        <f t="shared" si="142"/>
        <v/>
      </c>
      <c r="CH189" s="32" t="str">
        <f t="shared" si="143"/>
        <v/>
      </c>
      <c r="CI189" s="32" t="str">
        <f t="shared" si="144"/>
        <v/>
      </c>
      <c r="CJ189" s="32" t="str">
        <f t="shared" si="145"/>
        <v/>
      </c>
    </row>
    <row r="190" spans="1:88" x14ac:dyDescent="0.2">
      <c r="A190" s="32" t="str">
        <f t="shared" si="146"/>
        <v/>
      </c>
      <c r="B190" s="32">
        <f t="shared" si="59"/>
        <v>45581</v>
      </c>
      <c r="C190" s="32" t="str">
        <f t="shared" si="60"/>
        <v/>
      </c>
      <c r="D190" s="32">
        <f t="shared" si="61"/>
        <v>45658</v>
      </c>
      <c r="E190" s="32" t="str">
        <f t="shared" si="62"/>
        <v/>
      </c>
      <c r="F190" s="32">
        <f t="shared" si="63"/>
        <v>45748</v>
      </c>
      <c r="G190" s="32" t="str">
        <f t="shared" si="64"/>
        <v/>
      </c>
      <c r="H190" s="32">
        <f t="shared" si="65"/>
        <v>45763</v>
      </c>
      <c r="I190" s="32" t="str">
        <f t="shared" si="66"/>
        <v/>
      </c>
      <c r="J190" s="32">
        <f t="shared" si="67"/>
        <v>45839</v>
      </c>
      <c r="K190" s="32" t="str">
        <f t="shared" si="68"/>
        <v/>
      </c>
      <c r="L190" s="32">
        <f t="shared" si="69"/>
        <v>45931</v>
      </c>
      <c r="M190" s="32" t="str">
        <f t="shared" si="70"/>
        <v/>
      </c>
      <c r="N190" s="32">
        <f t="shared" si="71"/>
        <v>45946</v>
      </c>
      <c r="O190" s="32" t="str">
        <f t="shared" si="72"/>
        <v/>
      </c>
      <c r="P190" s="32">
        <f t="shared" si="73"/>
        <v>46023</v>
      </c>
      <c r="Q190" s="32" t="str">
        <f t="shared" si="74"/>
        <v/>
      </c>
      <c r="R190" s="32">
        <f t="shared" si="75"/>
        <v>46113</v>
      </c>
      <c r="S190" s="32" t="str">
        <f t="shared" si="76"/>
        <v/>
      </c>
      <c r="T190" s="32">
        <f t="shared" si="77"/>
        <v>46128</v>
      </c>
      <c r="U190" s="32" t="str">
        <f t="shared" si="78"/>
        <v/>
      </c>
      <c r="V190" s="32">
        <f t="shared" si="79"/>
        <v>46204</v>
      </c>
      <c r="W190" s="32" t="str">
        <f t="shared" si="80"/>
        <v/>
      </c>
      <c r="X190" s="32">
        <f t="shared" si="81"/>
        <v>46296</v>
      </c>
      <c r="Y190" s="32" t="str">
        <f t="shared" si="82"/>
        <v/>
      </c>
      <c r="Z190" s="32">
        <f t="shared" si="83"/>
        <v>46311</v>
      </c>
      <c r="AA190" s="32" t="str">
        <f t="shared" si="84"/>
        <v/>
      </c>
      <c r="AB190" s="32">
        <f t="shared" si="85"/>
        <v>46388</v>
      </c>
      <c r="AC190" s="32" t="str">
        <f t="shared" si="86"/>
        <v/>
      </c>
      <c r="AD190" s="32">
        <f t="shared" si="87"/>
        <v>46478</v>
      </c>
      <c r="AE190" s="32" t="str">
        <f t="shared" si="88"/>
        <v/>
      </c>
      <c r="AF190" s="32">
        <f t="shared" si="89"/>
        <v>46493</v>
      </c>
      <c r="AG190" s="32" t="str">
        <f t="shared" si="90"/>
        <v/>
      </c>
      <c r="AH190" s="32">
        <f t="shared" si="91"/>
        <v>46569</v>
      </c>
      <c r="AI190" s="32" t="str">
        <f t="shared" si="92"/>
        <v/>
      </c>
      <c r="AJ190" s="32">
        <f t="shared" si="93"/>
        <v>46661</v>
      </c>
      <c r="AK190" s="32" t="str">
        <f t="shared" si="94"/>
        <v/>
      </c>
      <c r="AL190" s="32">
        <f t="shared" si="95"/>
        <v>46676</v>
      </c>
      <c r="AM190" s="32" t="str">
        <f t="shared" si="96"/>
        <v/>
      </c>
      <c r="AN190" s="32">
        <f t="shared" si="97"/>
        <v>46753</v>
      </c>
      <c r="AO190" s="32" t="str">
        <f t="shared" si="98"/>
        <v/>
      </c>
      <c r="AP190" s="32">
        <f t="shared" si="99"/>
        <v>46844</v>
      </c>
      <c r="AQ190" s="32" t="str">
        <f t="shared" si="100"/>
        <v/>
      </c>
      <c r="AR190" s="32">
        <f t="shared" si="101"/>
        <v>46859</v>
      </c>
      <c r="AS190" s="32" t="str">
        <f t="shared" si="102"/>
        <v/>
      </c>
      <c r="AT190" s="32">
        <f t="shared" si="103"/>
        <v>46935</v>
      </c>
      <c r="AU190" s="32" t="str">
        <f t="shared" si="104"/>
        <v/>
      </c>
      <c r="AV190" s="32">
        <f t="shared" si="105"/>
        <v>47027</v>
      </c>
      <c r="AW190" s="32" t="str">
        <f t="shared" si="106"/>
        <v/>
      </c>
      <c r="AX190" s="32">
        <f t="shared" si="107"/>
        <v>47042</v>
      </c>
      <c r="AY190" s="32" t="str">
        <f t="shared" si="108"/>
        <v/>
      </c>
      <c r="AZ190" s="32">
        <f t="shared" si="109"/>
        <v>47119</v>
      </c>
      <c r="BA190" s="32" t="str">
        <f t="shared" si="110"/>
        <v/>
      </c>
      <c r="BB190" s="32">
        <f t="shared" si="111"/>
        <v>47209</v>
      </c>
      <c r="BC190" s="32" t="str">
        <f t="shared" si="112"/>
        <v/>
      </c>
      <c r="BD190" s="32">
        <f t="shared" si="113"/>
        <v>47224</v>
      </c>
      <c r="BE190" s="32" t="str">
        <f t="shared" si="114"/>
        <v/>
      </c>
      <c r="BF190" s="32">
        <f t="shared" si="115"/>
        <v>47300</v>
      </c>
      <c r="BG190" s="32" t="str">
        <f t="shared" si="116"/>
        <v/>
      </c>
      <c r="BH190" s="32">
        <f t="shared" si="117"/>
        <v>47392</v>
      </c>
      <c r="BI190" s="32" t="str">
        <f t="shared" si="118"/>
        <v/>
      </c>
      <c r="BJ190" s="32">
        <f t="shared" si="119"/>
        <v>47407</v>
      </c>
      <c r="BK190" s="32" t="str">
        <f t="shared" si="120"/>
        <v/>
      </c>
      <c r="BL190" s="32" t="str">
        <f t="shared" si="121"/>
        <v/>
      </c>
      <c r="BM190" s="32" t="str">
        <f t="shared" si="122"/>
        <v/>
      </c>
      <c r="BN190" s="32" t="str">
        <f t="shared" si="123"/>
        <v/>
      </c>
      <c r="BO190" s="32" t="str">
        <f t="shared" si="124"/>
        <v/>
      </c>
      <c r="BP190" s="32" t="str">
        <f t="shared" si="125"/>
        <v/>
      </c>
      <c r="BQ190" s="32" t="str">
        <f t="shared" si="126"/>
        <v/>
      </c>
      <c r="BR190" s="32" t="str">
        <f t="shared" si="127"/>
        <v/>
      </c>
      <c r="BS190" s="32" t="str">
        <f t="shared" si="128"/>
        <v/>
      </c>
      <c r="BT190" s="32" t="str">
        <f t="shared" si="129"/>
        <v/>
      </c>
      <c r="BU190" s="32" t="str">
        <f t="shared" si="130"/>
        <v/>
      </c>
      <c r="BV190" s="32" t="str">
        <f t="shared" si="131"/>
        <v/>
      </c>
      <c r="BW190" s="32" t="str">
        <f t="shared" si="132"/>
        <v/>
      </c>
      <c r="BX190" s="32" t="str">
        <f t="shared" si="133"/>
        <v/>
      </c>
      <c r="BY190" s="32" t="str">
        <f t="shared" si="134"/>
        <v/>
      </c>
      <c r="BZ190" s="32" t="str">
        <f t="shared" si="135"/>
        <v/>
      </c>
      <c r="CA190" s="32" t="str">
        <f t="shared" si="136"/>
        <v/>
      </c>
      <c r="CB190" s="32" t="str">
        <f t="shared" si="137"/>
        <v/>
      </c>
      <c r="CC190" s="32" t="str">
        <f t="shared" si="138"/>
        <v/>
      </c>
      <c r="CD190" s="32" t="str">
        <f t="shared" si="139"/>
        <v/>
      </c>
      <c r="CE190" s="32" t="str">
        <f t="shared" si="140"/>
        <v/>
      </c>
      <c r="CF190" s="32" t="str">
        <f t="shared" si="141"/>
        <v/>
      </c>
      <c r="CG190" s="32" t="str">
        <f t="shared" si="142"/>
        <v/>
      </c>
      <c r="CH190" s="32" t="str">
        <f t="shared" si="143"/>
        <v/>
      </c>
      <c r="CI190" s="32" t="str">
        <f t="shared" si="144"/>
        <v/>
      </c>
      <c r="CJ190" s="32" t="str">
        <f t="shared" si="145"/>
        <v/>
      </c>
    </row>
    <row r="191" spans="1:88" x14ac:dyDescent="0.2">
      <c r="A191" s="32" t="str">
        <f t="shared" si="146"/>
        <v/>
      </c>
      <c r="B191" s="32">
        <f t="shared" si="59"/>
        <v>45581</v>
      </c>
      <c r="C191" s="32" t="str">
        <f t="shared" si="60"/>
        <v/>
      </c>
      <c r="D191" s="32">
        <f t="shared" si="61"/>
        <v>45658</v>
      </c>
      <c r="E191" s="32" t="str">
        <f t="shared" si="62"/>
        <v/>
      </c>
      <c r="F191" s="32">
        <f t="shared" si="63"/>
        <v>45748</v>
      </c>
      <c r="G191" s="32" t="str">
        <f t="shared" si="64"/>
        <v/>
      </c>
      <c r="H191" s="32">
        <f t="shared" si="65"/>
        <v>45763</v>
      </c>
      <c r="I191" s="32" t="str">
        <f t="shared" si="66"/>
        <v/>
      </c>
      <c r="J191" s="32">
        <f t="shared" si="67"/>
        <v>45839</v>
      </c>
      <c r="K191" s="32" t="str">
        <f t="shared" si="68"/>
        <v/>
      </c>
      <c r="L191" s="32">
        <f t="shared" si="69"/>
        <v>45931</v>
      </c>
      <c r="M191" s="32" t="str">
        <f t="shared" si="70"/>
        <v/>
      </c>
      <c r="N191" s="32">
        <f t="shared" si="71"/>
        <v>45946</v>
      </c>
      <c r="O191" s="32" t="str">
        <f t="shared" si="72"/>
        <v/>
      </c>
      <c r="P191" s="32">
        <f t="shared" si="73"/>
        <v>46023</v>
      </c>
      <c r="Q191" s="32" t="str">
        <f t="shared" si="74"/>
        <v/>
      </c>
      <c r="R191" s="32">
        <f t="shared" si="75"/>
        <v>46113</v>
      </c>
      <c r="S191" s="32" t="str">
        <f t="shared" si="76"/>
        <v/>
      </c>
      <c r="T191" s="32">
        <f t="shared" si="77"/>
        <v>46128</v>
      </c>
      <c r="U191" s="32" t="str">
        <f t="shared" si="78"/>
        <v/>
      </c>
      <c r="V191" s="32">
        <f t="shared" si="79"/>
        <v>46204</v>
      </c>
      <c r="W191" s="32" t="str">
        <f t="shared" si="80"/>
        <v/>
      </c>
      <c r="X191" s="32">
        <f t="shared" si="81"/>
        <v>46296</v>
      </c>
      <c r="Y191" s="32" t="str">
        <f t="shared" si="82"/>
        <v/>
      </c>
      <c r="Z191" s="32">
        <f t="shared" si="83"/>
        <v>46311</v>
      </c>
      <c r="AA191" s="32" t="str">
        <f t="shared" si="84"/>
        <v/>
      </c>
      <c r="AB191" s="32">
        <f t="shared" si="85"/>
        <v>46388</v>
      </c>
      <c r="AC191" s="32" t="str">
        <f t="shared" si="86"/>
        <v/>
      </c>
      <c r="AD191" s="32">
        <f t="shared" si="87"/>
        <v>46478</v>
      </c>
      <c r="AE191" s="32" t="str">
        <f t="shared" si="88"/>
        <v/>
      </c>
      <c r="AF191" s="32">
        <f t="shared" si="89"/>
        <v>46493</v>
      </c>
      <c r="AG191" s="32" t="str">
        <f t="shared" si="90"/>
        <v/>
      </c>
      <c r="AH191" s="32">
        <f t="shared" si="91"/>
        <v>46569</v>
      </c>
      <c r="AI191" s="32" t="str">
        <f t="shared" si="92"/>
        <v/>
      </c>
      <c r="AJ191" s="32">
        <f t="shared" si="93"/>
        <v>46661</v>
      </c>
      <c r="AK191" s="32" t="str">
        <f t="shared" si="94"/>
        <v/>
      </c>
      <c r="AL191" s="32">
        <f t="shared" si="95"/>
        <v>46676</v>
      </c>
      <c r="AM191" s="32" t="str">
        <f t="shared" si="96"/>
        <v/>
      </c>
      <c r="AN191" s="32">
        <f t="shared" si="97"/>
        <v>46753</v>
      </c>
      <c r="AO191" s="32" t="str">
        <f t="shared" si="98"/>
        <v/>
      </c>
      <c r="AP191" s="32">
        <f t="shared" si="99"/>
        <v>46844</v>
      </c>
      <c r="AQ191" s="32" t="str">
        <f t="shared" si="100"/>
        <v/>
      </c>
      <c r="AR191" s="32">
        <f t="shared" si="101"/>
        <v>46859</v>
      </c>
      <c r="AS191" s="32" t="str">
        <f t="shared" si="102"/>
        <v/>
      </c>
      <c r="AT191" s="32">
        <f t="shared" si="103"/>
        <v>46935</v>
      </c>
      <c r="AU191" s="32" t="str">
        <f t="shared" si="104"/>
        <v/>
      </c>
      <c r="AV191" s="32">
        <f t="shared" si="105"/>
        <v>47027</v>
      </c>
      <c r="AW191" s="32" t="str">
        <f t="shared" si="106"/>
        <v/>
      </c>
      <c r="AX191" s="32">
        <f t="shared" si="107"/>
        <v>47042</v>
      </c>
      <c r="AY191" s="32" t="str">
        <f t="shared" si="108"/>
        <v/>
      </c>
      <c r="AZ191" s="32">
        <f t="shared" si="109"/>
        <v>47119</v>
      </c>
      <c r="BA191" s="32" t="str">
        <f t="shared" si="110"/>
        <v/>
      </c>
      <c r="BB191" s="32">
        <f t="shared" si="111"/>
        <v>47209</v>
      </c>
      <c r="BC191" s="32" t="str">
        <f t="shared" si="112"/>
        <v/>
      </c>
      <c r="BD191" s="32">
        <f t="shared" si="113"/>
        <v>47224</v>
      </c>
      <c r="BE191" s="32" t="str">
        <f t="shared" si="114"/>
        <v/>
      </c>
      <c r="BF191" s="32">
        <f t="shared" si="115"/>
        <v>47300</v>
      </c>
      <c r="BG191" s="32" t="str">
        <f t="shared" si="116"/>
        <v/>
      </c>
      <c r="BH191" s="32">
        <f t="shared" si="117"/>
        <v>47392</v>
      </c>
      <c r="BI191" s="32" t="str">
        <f t="shared" si="118"/>
        <v/>
      </c>
      <c r="BJ191" s="32">
        <f t="shared" si="119"/>
        <v>47407</v>
      </c>
      <c r="BK191" s="32" t="str">
        <f t="shared" si="120"/>
        <v/>
      </c>
      <c r="BL191" s="32" t="str">
        <f t="shared" si="121"/>
        <v/>
      </c>
      <c r="BM191" s="32" t="str">
        <f t="shared" si="122"/>
        <v/>
      </c>
      <c r="BN191" s="32" t="str">
        <f t="shared" si="123"/>
        <v/>
      </c>
      <c r="BO191" s="32" t="str">
        <f t="shared" si="124"/>
        <v/>
      </c>
      <c r="BP191" s="32" t="str">
        <f t="shared" si="125"/>
        <v/>
      </c>
      <c r="BQ191" s="32" t="str">
        <f t="shared" si="126"/>
        <v/>
      </c>
      <c r="BR191" s="32" t="str">
        <f t="shared" si="127"/>
        <v/>
      </c>
      <c r="BS191" s="32" t="str">
        <f t="shared" si="128"/>
        <v/>
      </c>
      <c r="BT191" s="32" t="str">
        <f t="shared" si="129"/>
        <v/>
      </c>
      <c r="BU191" s="32" t="str">
        <f t="shared" si="130"/>
        <v/>
      </c>
      <c r="BV191" s="32" t="str">
        <f t="shared" si="131"/>
        <v/>
      </c>
      <c r="BW191" s="32" t="str">
        <f t="shared" si="132"/>
        <v/>
      </c>
      <c r="BX191" s="32" t="str">
        <f t="shared" si="133"/>
        <v/>
      </c>
      <c r="BY191" s="32" t="str">
        <f t="shared" si="134"/>
        <v/>
      </c>
      <c r="BZ191" s="32" t="str">
        <f t="shared" si="135"/>
        <v/>
      </c>
      <c r="CA191" s="32" t="str">
        <f t="shared" si="136"/>
        <v/>
      </c>
      <c r="CB191" s="32" t="str">
        <f t="shared" si="137"/>
        <v/>
      </c>
      <c r="CC191" s="32" t="str">
        <f t="shared" si="138"/>
        <v/>
      </c>
      <c r="CD191" s="32" t="str">
        <f t="shared" si="139"/>
        <v/>
      </c>
      <c r="CE191" s="32" t="str">
        <f t="shared" si="140"/>
        <v/>
      </c>
      <c r="CF191" s="32" t="str">
        <f t="shared" si="141"/>
        <v/>
      </c>
      <c r="CG191" s="32" t="str">
        <f t="shared" si="142"/>
        <v/>
      </c>
      <c r="CH191" s="32" t="str">
        <f t="shared" si="143"/>
        <v/>
      </c>
      <c r="CI191" s="32" t="str">
        <f t="shared" si="144"/>
        <v/>
      </c>
      <c r="CJ191" s="32" t="str">
        <f t="shared" si="145"/>
        <v/>
      </c>
    </row>
    <row r="192" spans="1:88" x14ac:dyDescent="0.2">
      <c r="A192" s="32" t="str">
        <f t="shared" si="146"/>
        <v/>
      </c>
      <c r="B192" s="32">
        <f t="shared" si="59"/>
        <v>45581</v>
      </c>
      <c r="C192" s="32" t="str">
        <f t="shared" si="60"/>
        <v/>
      </c>
      <c r="D192" s="32">
        <f t="shared" si="61"/>
        <v>45658</v>
      </c>
      <c r="E192" s="32" t="str">
        <f t="shared" si="62"/>
        <v/>
      </c>
      <c r="F192" s="32">
        <f t="shared" si="63"/>
        <v>45748</v>
      </c>
      <c r="G192" s="32" t="str">
        <f t="shared" si="64"/>
        <v/>
      </c>
      <c r="H192" s="32">
        <f t="shared" si="65"/>
        <v>45763</v>
      </c>
      <c r="I192" s="32" t="str">
        <f t="shared" si="66"/>
        <v/>
      </c>
      <c r="J192" s="32">
        <f t="shared" si="67"/>
        <v>45839</v>
      </c>
      <c r="K192" s="32" t="str">
        <f t="shared" si="68"/>
        <v/>
      </c>
      <c r="L192" s="32">
        <f t="shared" si="69"/>
        <v>45931</v>
      </c>
      <c r="M192" s="32" t="str">
        <f t="shared" si="70"/>
        <v/>
      </c>
      <c r="N192" s="32">
        <f t="shared" si="71"/>
        <v>45946</v>
      </c>
      <c r="O192" s="32" t="str">
        <f t="shared" si="72"/>
        <v/>
      </c>
      <c r="P192" s="32">
        <f t="shared" si="73"/>
        <v>46023</v>
      </c>
      <c r="Q192" s="32" t="str">
        <f t="shared" si="74"/>
        <v/>
      </c>
      <c r="R192" s="32">
        <f t="shared" si="75"/>
        <v>46113</v>
      </c>
      <c r="S192" s="32" t="str">
        <f t="shared" si="76"/>
        <v/>
      </c>
      <c r="T192" s="32">
        <f t="shared" si="77"/>
        <v>46128</v>
      </c>
      <c r="U192" s="32" t="str">
        <f t="shared" si="78"/>
        <v/>
      </c>
      <c r="V192" s="32">
        <f t="shared" si="79"/>
        <v>46204</v>
      </c>
      <c r="W192" s="32" t="str">
        <f t="shared" si="80"/>
        <v/>
      </c>
      <c r="X192" s="32">
        <f t="shared" si="81"/>
        <v>46296</v>
      </c>
      <c r="Y192" s="32" t="str">
        <f t="shared" si="82"/>
        <v/>
      </c>
      <c r="Z192" s="32">
        <f t="shared" si="83"/>
        <v>46311</v>
      </c>
      <c r="AA192" s="32" t="str">
        <f t="shared" si="84"/>
        <v/>
      </c>
      <c r="AB192" s="32">
        <f t="shared" si="85"/>
        <v>46388</v>
      </c>
      <c r="AC192" s="32" t="str">
        <f t="shared" si="86"/>
        <v/>
      </c>
      <c r="AD192" s="32">
        <f t="shared" si="87"/>
        <v>46478</v>
      </c>
      <c r="AE192" s="32" t="str">
        <f t="shared" si="88"/>
        <v/>
      </c>
      <c r="AF192" s="32">
        <f t="shared" si="89"/>
        <v>46493</v>
      </c>
      <c r="AG192" s="32" t="str">
        <f t="shared" si="90"/>
        <v/>
      </c>
      <c r="AH192" s="32">
        <f t="shared" si="91"/>
        <v>46569</v>
      </c>
      <c r="AI192" s="32" t="str">
        <f t="shared" si="92"/>
        <v/>
      </c>
      <c r="AJ192" s="32">
        <f t="shared" si="93"/>
        <v>46661</v>
      </c>
      <c r="AK192" s="32" t="str">
        <f t="shared" si="94"/>
        <v/>
      </c>
      <c r="AL192" s="32">
        <f t="shared" si="95"/>
        <v>46676</v>
      </c>
      <c r="AM192" s="32" t="str">
        <f t="shared" si="96"/>
        <v/>
      </c>
      <c r="AN192" s="32">
        <f t="shared" si="97"/>
        <v>46753</v>
      </c>
      <c r="AO192" s="32" t="str">
        <f t="shared" si="98"/>
        <v/>
      </c>
      <c r="AP192" s="32">
        <f t="shared" si="99"/>
        <v>46844</v>
      </c>
      <c r="AQ192" s="32" t="str">
        <f t="shared" si="100"/>
        <v/>
      </c>
      <c r="AR192" s="32">
        <f t="shared" si="101"/>
        <v>46859</v>
      </c>
      <c r="AS192" s="32" t="str">
        <f t="shared" si="102"/>
        <v/>
      </c>
      <c r="AT192" s="32">
        <f t="shared" si="103"/>
        <v>46935</v>
      </c>
      <c r="AU192" s="32" t="str">
        <f t="shared" si="104"/>
        <v/>
      </c>
      <c r="AV192" s="32">
        <f t="shared" si="105"/>
        <v>47027</v>
      </c>
      <c r="AW192" s="32" t="str">
        <f t="shared" si="106"/>
        <v/>
      </c>
      <c r="AX192" s="32">
        <f t="shared" si="107"/>
        <v>47042</v>
      </c>
      <c r="AY192" s="32" t="str">
        <f t="shared" si="108"/>
        <v/>
      </c>
      <c r="AZ192" s="32">
        <f t="shared" si="109"/>
        <v>47119</v>
      </c>
      <c r="BA192" s="32" t="str">
        <f t="shared" si="110"/>
        <v/>
      </c>
      <c r="BB192" s="32">
        <f t="shared" si="111"/>
        <v>47209</v>
      </c>
      <c r="BC192" s="32" t="str">
        <f t="shared" si="112"/>
        <v/>
      </c>
      <c r="BD192" s="32">
        <f t="shared" si="113"/>
        <v>47224</v>
      </c>
      <c r="BE192" s="32" t="str">
        <f t="shared" si="114"/>
        <v/>
      </c>
      <c r="BF192" s="32">
        <f t="shared" si="115"/>
        <v>47300</v>
      </c>
      <c r="BG192" s="32" t="str">
        <f t="shared" si="116"/>
        <v/>
      </c>
      <c r="BH192" s="32">
        <f t="shared" si="117"/>
        <v>47392</v>
      </c>
      <c r="BI192" s="32" t="str">
        <f t="shared" si="118"/>
        <v/>
      </c>
      <c r="BJ192" s="32">
        <f t="shared" si="119"/>
        <v>47407</v>
      </c>
      <c r="BK192" s="32" t="str">
        <f t="shared" si="120"/>
        <v/>
      </c>
      <c r="BL192" s="32" t="str">
        <f t="shared" si="121"/>
        <v/>
      </c>
      <c r="BM192" s="32" t="str">
        <f t="shared" si="122"/>
        <v/>
      </c>
      <c r="BN192" s="32" t="str">
        <f t="shared" si="123"/>
        <v/>
      </c>
      <c r="BO192" s="32" t="str">
        <f t="shared" si="124"/>
        <v/>
      </c>
      <c r="BP192" s="32" t="str">
        <f t="shared" si="125"/>
        <v/>
      </c>
      <c r="BQ192" s="32" t="str">
        <f t="shared" si="126"/>
        <v/>
      </c>
      <c r="BR192" s="32" t="str">
        <f t="shared" si="127"/>
        <v/>
      </c>
      <c r="BS192" s="32" t="str">
        <f t="shared" si="128"/>
        <v/>
      </c>
      <c r="BT192" s="32" t="str">
        <f t="shared" si="129"/>
        <v/>
      </c>
      <c r="BU192" s="32" t="str">
        <f t="shared" si="130"/>
        <v/>
      </c>
      <c r="BV192" s="32" t="str">
        <f t="shared" si="131"/>
        <v/>
      </c>
      <c r="BW192" s="32" t="str">
        <f t="shared" si="132"/>
        <v/>
      </c>
      <c r="BX192" s="32" t="str">
        <f t="shared" si="133"/>
        <v/>
      </c>
      <c r="BY192" s="32" t="str">
        <f t="shared" si="134"/>
        <v/>
      </c>
      <c r="BZ192" s="32" t="str">
        <f t="shared" si="135"/>
        <v/>
      </c>
      <c r="CA192" s="32" t="str">
        <f t="shared" si="136"/>
        <v/>
      </c>
      <c r="CB192" s="32" t="str">
        <f t="shared" si="137"/>
        <v/>
      </c>
      <c r="CC192" s="32" t="str">
        <f t="shared" si="138"/>
        <v/>
      </c>
      <c r="CD192" s="32" t="str">
        <f t="shared" si="139"/>
        <v/>
      </c>
      <c r="CE192" s="32" t="str">
        <f t="shared" si="140"/>
        <v/>
      </c>
      <c r="CF192" s="32" t="str">
        <f t="shared" si="141"/>
        <v/>
      </c>
      <c r="CG192" s="32" t="str">
        <f t="shared" si="142"/>
        <v/>
      </c>
      <c r="CH192" s="32" t="str">
        <f t="shared" si="143"/>
        <v/>
      </c>
      <c r="CI192" s="32" t="str">
        <f t="shared" si="144"/>
        <v/>
      </c>
      <c r="CJ192" s="32" t="str">
        <f t="shared" si="145"/>
        <v/>
      </c>
    </row>
    <row r="193" spans="1:88" x14ac:dyDescent="0.2">
      <c r="A193" s="32" t="str">
        <f t="shared" si="146"/>
        <v/>
      </c>
      <c r="B193" s="32">
        <f t="shared" si="59"/>
        <v>45581</v>
      </c>
      <c r="C193" s="32" t="str">
        <f t="shared" si="60"/>
        <v/>
      </c>
      <c r="D193" s="32">
        <f t="shared" si="61"/>
        <v>45658</v>
      </c>
      <c r="E193" s="32" t="str">
        <f t="shared" si="62"/>
        <v/>
      </c>
      <c r="F193" s="32">
        <f t="shared" si="63"/>
        <v>45748</v>
      </c>
      <c r="G193" s="32" t="str">
        <f t="shared" si="64"/>
        <v/>
      </c>
      <c r="H193" s="32">
        <f t="shared" si="65"/>
        <v>45763</v>
      </c>
      <c r="I193" s="32" t="str">
        <f t="shared" si="66"/>
        <v/>
      </c>
      <c r="J193" s="32">
        <f t="shared" si="67"/>
        <v>45839</v>
      </c>
      <c r="K193" s="32" t="str">
        <f t="shared" si="68"/>
        <v/>
      </c>
      <c r="L193" s="32">
        <f t="shared" si="69"/>
        <v>45931</v>
      </c>
      <c r="M193" s="32" t="str">
        <f t="shared" si="70"/>
        <v/>
      </c>
      <c r="N193" s="32">
        <f t="shared" si="71"/>
        <v>45946</v>
      </c>
      <c r="O193" s="32" t="str">
        <f t="shared" si="72"/>
        <v/>
      </c>
      <c r="P193" s="32">
        <f t="shared" si="73"/>
        <v>46023</v>
      </c>
      <c r="Q193" s="32" t="str">
        <f t="shared" si="74"/>
        <v/>
      </c>
      <c r="R193" s="32">
        <f t="shared" si="75"/>
        <v>46113</v>
      </c>
      <c r="S193" s="32" t="str">
        <f t="shared" si="76"/>
        <v/>
      </c>
      <c r="T193" s="32">
        <f t="shared" si="77"/>
        <v>46128</v>
      </c>
      <c r="U193" s="32" t="str">
        <f t="shared" si="78"/>
        <v/>
      </c>
      <c r="V193" s="32">
        <f t="shared" si="79"/>
        <v>46204</v>
      </c>
      <c r="W193" s="32" t="str">
        <f t="shared" si="80"/>
        <v/>
      </c>
      <c r="X193" s="32">
        <f t="shared" si="81"/>
        <v>46296</v>
      </c>
      <c r="Y193" s="32" t="str">
        <f t="shared" si="82"/>
        <v/>
      </c>
      <c r="Z193" s="32">
        <f t="shared" si="83"/>
        <v>46311</v>
      </c>
      <c r="AA193" s="32" t="str">
        <f t="shared" si="84"/>
        <v/>
      </c>
      <c r="AB193" s="32">
        <f t="shared" si="85"/>
        <v>46388</v>
      </c>
      <c r="AC193" s="32" t="str">
        <f t="shared" si="86"/>
        <v/>
      </c>
      <c r="AD193" s="32">
        <f t="shared" si="87"/>
        <v>46478</v>
      </c>
      <c r="AE193" s="32" t="str">
        <f t="shared" si="88"/>
        <v/>
      </c>
      <c r="AF193" s="32">
        <f t="shared" si="89"/>
        <v>46493</v>
      </c>
      <c r="AG193" s="32" t="str">
        <f t="shared" si="90"/>
        <v/>
      </c>
      <c r="AH193" s="32">
        <f t="shared" si="91"/>
        <v>46569</v>
      </c>
      <c r="AI193" s="32" t="str">
        <f t="shared" si="92"/>
        <v/>
      </c>
      <c r="AJ193" s="32">
        <f t="shared" si="93"/>
        <v>46661</v>
      </c>
      <c r="AK193" s="32" t="str">
        <f t="shared" si="94"/>
        <v/>
      </c>
      <c r="AL193" s="32">
        <f t="shared" si="95"/>
        <v>46676</v>
      </c>
      <c r="AM193" s="32" t="str">
        <f t="shared" si="96"/>
        <v/>
      </c>
      <c r="AN193" s="32">
        <f t="shared" si="97"/>
        <v>46753</v>
      </c>
      <c r="AO193" s="32" t="str">
        <f t="shared" si="98"/>
        <v/>
      </c>
      <c r="AP193" s="32">
        <f t="shared" si="99"/>
        <v>46844</v>
      </c>
      <c r="AQ193" s="32" t="str">
        <f t="shared" si="100"/>
        <v/>
      </c>
      <c r="AR193" s="32">
        <f t="shared" si="101"/>
        <v>46859</v>
      </c>
      <c r="AS193" s="32" t="str">
        <f t="shared" si="102"/>
        <v/>
      </c>
      <c r="AT193" s="32">
        <f t="shared" si="103"/>
        <v>46935</v>
      </c>
      <c r="AU193" s="32" t="str">
        <f t="shared" si="104"/>
        <v/>
      </c>
      <c r="AV193" s="32">
        <f t="shared" si="105"/>
        <v>47027</v>
      </c>
      <c r="AW193" s="32" t="str">
        <f t="shared" si="106"/>
        <v/>
      </c>
      <c r="AX193" s="32">
        <f t="shared" si="107"/>
        <v>47042</v>
      </c>
      <c r="AY193" s="32" t="str">
        <f t="shared" si="108"/>
        <v/>
      </c>
      <c r="AZ193" s="32">
        <f t="shared" si="109"/>
        <v>47119</v>
      </c>
      <c r="BA193" s="32" t="str">
        <f t="shared" si="110"/>
        <v/>
      </c>
      <c r="BB193" s="32">
        <f t="shared" si="111"/>
        <v>47209</v>
      </c>
      <c r="BC193" s="32" t="str">
        <f t="shared" si="112"/>
        <v/>
      </c>
      <c r="BD193" s="32">
        <f t="shared" si="113"/>
        <v>47224</v>
      </c>
      <c r="BE193" s="32" t="str">
        <f t="shared" si="114"/>
        <v/>
      </c>
      <c r="BF193" s="32">
        <f t="shared" si="115"/>
        <v>47300</v>
      </c>
      <c r="BG193" s="32" t="str">
        <f t="shared" si="116"/>
        <v/>
      </c>
      <c r="BH193" s="32">
        <f t="shared" si="117"/>
        <v>47392</v>
      </c>
      <c r="BI193" s="32" t="str">
        <f t="shared" si="118"/>
        <v/>
      </c>
      <c r="BJ193" s="32">
        <f t="shared" si="119"/>
        <v>47407</v>
      </c>
      <c r="BK193" s="32" t="str">
        <f t="shared" si="120"/>
        <v/>
      </c>
      <c r="BL193" s="32" t="str">
        <f t="shared" si="121"/>
        <v/>
      </c>
      <c r="BM193" s="32" t="str">
        <f t="shared" si="122"/>
        <v/>
      </c>
      <c r="BN193" s="32" t="str">
        <f t="shared" si="123"/>
        <v/>
      </c>
      <c r="BO193" s="32" t="str">
        <f t="shared" si="124"/>
        <v/>
      </c>
      <c r="BP193" s="32" t="str">
        <f t="shared" si="125"/>
        <v/>
      </c>
      <c r="BQ193" s="32" t="str">
        <f t="shared" si="126"/>
        <v/>
      </c>
      <c r="BR193" s="32" t="str">
        <f t="shared" si="127"/>
        <v/>
      </c>
      <c r="BS193" s="32" t="str">
        <f t="shared" si="128"/>
        <v/>
      </c>
      <c r="BT193" s="32" t="str">
        <f t="shared" si="129"/>
        <v/>
      </c>
      <c r="BU193" s="32" t="str">
        <f t="shared" si="130"/>
        <v/>
      </c>
      <c r="BV193" s="32" t="str">
        <f t="shared" si="131"/>
        <v/>
      </c>
      <c r="BW193" s="32" t="str">
        <f t="shared" si="132"/>
        <v/>
      </c>
      <c r="BX193" s="32" t="str">
        <f t="shared" si="133"/>
        <v/>
      </c>
      <c r="BY193" s="32" t="str">
        <f t="shared" si="134"/>
        <v/>
      </c>
      <c r="BZ193" s="32" t="str">
        <f t="shared" si="135"/>
        <v/>
      </c>
      <c r="CA193" s="32" t="str">
        <f t="shared" si="136"/>
        <v/>
      </c>
      <c r="CB193" s="32" t="str">
        <f t="shared" si="137"/>
        <v/>
      </c>
      <c r="CC193" s="32" t="str">
        <f t="shared" si="138"/>
        <v/>
      </c>
      <c r="CD193" s="32" t="str">
        <f t="shared" si="139"/>
        <v/>
      </c>
      <c r="CE193" s="32" t="str">
        <f t="shared" si="140"/>
        <v/>
      </c>
      <c r="CF193" s="32" t="str">
        <f t="shared" si="141"/>
        <v/>
      </c>
      <c r="CG193" s="32" t="str">
        <f t="shared" si="142"/>
        <v/>
      </c>
      <c r="CH193" s="32" t="str">
        <f t="shared" si="143"/>
        <v/>
      </c>
      <c r="CI193" s="32" t="str">
        <f t="shared" si="144"/>
        <v/>
      </c>
      <c r="CJ193" s="32" t="str">
        <f t="shared" si="145"/>
        <v/>
      </c>
    </row>
    <row r="194" spans="1:88" x14ac:dyDescent="0.2">
      <c r="A194" s="32" t="str">
        <f t="shared" si="146"/>
        <v/>
      </c>
      <c r="B194" s="32">
        <f t="shared" si="59"/>
        <v>45581</v>
      </c>
      <c r="C194" s="32" t="str">
        <f t="shared" si="60"/>
        <v/>
      </c>
      <c r="D194" s="32">
        <f t="shared" si="61"/>
        <v>45658</v>
      </c>
      <c r="E194" s="32" t="str">
        <f t="shared" si="62"/>
        <v/>
      </c>
      <c r="F194" s="32">
        <f t="shared" si="63"/>
        <v>45748</v>
      </c>
      <c r="G194" s="32" t="str">
        <f t="shared" si="64"/>
        <v/>
      </c>
      <c r="H194" s="32">
        <f t="shared" si="65"/>
        <v>45763</v>
      </c>
      <c r="I194" s="32" t="str">
        <f t="shared" si="66"/>
        <v/>
      </c>
      <c r="J194" s="32">
        <f t="shared" si="67"/>
        <v>45839</v>
      </c>
      <c r="K194" s="32" t="str">
        <f t="shared" si="68"/>
        <v/>
      </c>
      <c r="L194" s="32">
        <f t="shared" si="69"/>
        <v>45931</v>
      </c>
      <c r="M194" s="32" t="str">
        <f t="shared" si="70"/>
        <v/>
      </c>
      <c r="N194" s="32">
        <f t="shared" si="71"/>
        <v>45946</v>
      </c>
      <c r="O194" s="32" t="str">
        <f t="shared" si="72"/>
        <v/>
      </c>
      <c r="P194" s="32">
        <f t="shared" si="73"/>
        <v>46023</v>
      </c>
      <c r="Q194" s="32" t="str">
        <f t="shared" si="74"/>
        <v/>
      </c>
      <c r="R194" s="32">
        <f t="shared" si="75"/>
        <v>46113</v>
      </c>
      <c r="S194" s="32" t="str">
        <f t="shared" si="76"/>
        <v/>
      </c>
      <c r="T194" s="32">
        <f t="shared" si="77"/>
        <v>46128</v>
      </c>
      <c r="U194" s="32" t="str">
        <f t="shared" si="78"/>
        <v/>
      </c>
      <c r="V194" s="32">
        <f t="shared" si="79"/>
        <v>46204</v>
      </c>
      <c r="W194" s="32" t="str">
        <f t="shared" si="80"/>
        <v/>
      </c>
      <c r="X194" s="32">
        <f t="shared" si="81"/>
        <v>46296</v>
      </c>
      <c r="Y194" s="32" t="str">
        <f t="shared" si="82"/>
        <v/>
      </c>
      <c r="Z194" s="32">
        <f t="shared" si="83"/>
        <v>46311</v>
      </c>
      <c r="AA194" s="32" t="str">
        <f t="shared" si="84"/>
        <v/>
      </c>
      <c r="AB194" s="32">
        <f t="shared" si="85"/>
        <v>46388</v>
      </c>
      <c r="AC194" s="32" t="str">
        <f t="shared" si="86"/>
        <v/>
      </c>
      <c r="AD194" s="32">
        <f t="shared" si="87"/>
        <v>46478</v>
      </c>
      <c r="AE194" s="32" t="str">
        <f t="shared" si="88"/>
        <v/>
      </c>
      <c r="AF194" s="32">
        <f t="shared" si="89"/>
        <v>46493</v>
      </c>
      <c r="AG194" s="32" t="str">
        <f t="shared" si="90"/>
        <v/>
      </c>
      <c r="AH194" s="32">
        <f t="shared" si="91"/>
        <v>46569</v>
      </c>
      <c r="AI194" s="32" t="str">
        <f t="shared" si="92"/>
        <v/>
      </c>
      <c r="AJ194" s="32">
        <f t="shared" si="93"/>
        <v>46661</v>
      </c>
      <c r="AK194" s="32" t="str">
        <f t="shared" si="94"/>
        <v/>
      </c>
      <c r="AL194" s="32">
        <f t="shared" si="95"/>
        <v>46676</v>
      </c>
      <c r="AM194" s="32" t="str">
        <f t="shared" si="96"/>
        <v/>
      </c>
      <c r="AN194" s="32">
        <f t="shared" si="97"/>
        <v>46753</v>
      </c>
      <c r="AO194" s="32" t="str">
        <f t="shared" si="98"/>
        <v/>
      </c>
      <c r="AP194" s="32">
        <f t="shared" si="99"/>
        <v>46844</v>
      </c>
      <c r="AQ194" s="32" t="str">
        <f t="shared" si="100"/>
        <v/>
      </c>
      <c r="AR194" s="32">
        <f t="shared" si="101"/>
        <v>46859</v>
      </c>
      <c r="AS194" s="32" t="str">
        <f t="shared" si="102"/>
        <v/>
      </c>
      <c r="AT194" s="32">
        <f t="shared" si="103"/>
        <v>46935</v>
      </c>
      <c r="AU194" s="32" t="str">
        <f t="shared" si="104"/>
        <v/>
      </c>
      <c r="AV194" s="32">
        <f t="shared" si="105"/>
        <v>47027</v>
      </c>
      <c r="AW194" s="32" t="str">
        <f t="shared" si="106"/>
        <v/>
      </c>
      <c r="AX194" s="32">
        <f t="shared" si="107"/>
        <v>47042</v>
      </c>
      <c r="AY194" s="32" t="str">
        <f t="shared" si="108"/>
        <v/>
      </c>
      <c r="AZ194" s="32">
        <f t="shared" si="109"/>
        <v>47119</v>
      </c>
      <c r="BA194" s="32" t="str">
        <f t="shared" si="110"/>
        <v/>
      </c>
      <c r="BB194" s="32">
        <f t="shared" si="111"/>
        <v>47209</v>
      </c>
      <c r="BC194" s="32" t="str">
        <f t="shared" si="112"/>
        <v/>
      </c>
      <c r="BD194" s="32">
        <f t="shared" si="113"/>
        <v>47224</v>
      </c>
      <c r="BE194" s="32" t="str">
        <f t="shared" si="114"/>
        <v/>
      </c>
      <c r="BF194" s="32">
        <f t="shared" si="115"/>
        <v>47300</v>
      </c>
      <c r="BG194" s="32" t="str">
        <f t="shared" si="116"/>
        <v/>
      </c>
      <c r="BH194" s="32">
        <f t="shared" si="117"/>
        <v>47392</v>
      </c>
      <c r="BI194" s="32" t="str">
        <f t="shared" si="118"/>
        <v/>
      </c>
      <c r="BJ194" s="32">
        <f t="shared" si="119"/>
        <v>47407</v>
      </c>
      <c r="BK194" s="32" t="str">
        <f t="shared" si="120"/>
        <v/>
      </c>
      <c r="BL194" s="32" t="str">
        <f t="shared" si="121"/>
        <v/>
      </c>
      <c r="BM194" s="32" t="str">
        <f t="shared" si="122"/>
        <v/>
      </c>
      <c r="BN194" s="32" t="str">
        <f t="shared" si="123"/>
        <v/>
      </c>
      <c r="BO194" s="32" t="str">
        <f t="shared" si="124"/>
        <v/>
      </c>
      <c r="BP194" s="32" t="str">
        <f t="shared" si="125"/>
        <v/>
      </c>
      <c r="BQ194" s="32" t="str">
        <f t="shared" si="126"/>
        <v/>
      </c>
      <c r="BR194" s="32" t="str">
        <f t="shared" si="127"/>
        <v/>
      </c>
      <c r="BS194" s="32" t="str">
        <f t="shared" si="128"/>
        <v/>
      </c>
      <c r="BT194" s="32" t="str">
        <f t="shared" si="129"/>
        <v/>
      </c>
      <c r="BU194" s="32" t="str">
        <f t="shared" si="130"/>
        <v/>
      </c>
      <c r="BV194" s="32" t="str">
        <f t="shared" si="131"/>
        <v/>
      </c>
      <c r="BW194" s="32" t="str">
        <f t="shared" si="132"/>
        <v/>
      </c>
      <c r="BX194" s="32" t="str">
        <f t="shared" si="133"/>
        <v/>
      </c>
      <c r="BY194" s="32" t="str">
        <f t="shared" si="134"/>
        <v/>
      </c>
      <c r="BZ194" s="32" t="str">
        <f t="shared" si="135"/>
        <v/>
      </c>
      <c r="CA194" s="32" t="str">
        <f t="shared" si="136"/>
        <v/>
      </c>
      <c r="CB194" s="32" t="str">
        <f t="shared" si="137"/>
        <v/>
      </c>
      <c r="CC194" s="32" t="str">
        <f t="shared" si="138"/>
        <v/>
      </c>
      <c r="CD194" s="32" t="str">
        <f t="shared" si="139"/>
        <v/>
      </c>
      <c r="CE194" s="32" t="str">
        <f t="shared" si="140"/>
        <v/>
      </c>
      <c r="CF194" s="32" t="str">
        <f t="shared" si="141"/>
        <v/>
      </c>
      <c r="CG194" s="32" t="str">
        <f t="shared" si="142"/>
        <v/>
      </c>
      <c r="CH194" s="32" t="str">
        <f t="shared" si="143"/>
        <v/>
      </c>
      <c r="CI194" s="32" t="str">
        <f t="shared" si="144"/>
        <v/>
      </c>
      <c r="CJ194" s="32" t="str">
        <f t="shared" si="145"/>
        <v/>
      </c>
    </row>
    <row r="195" spans="1:88" x14ac:dyDescent="0.2">
      <c r="A195" s="32" t="str">
        <f t="shared" si="146"/>
        <v/>
      </c>
      <c r="B195" s="32">
        <f t="shared" si="59"/>
        <v>45581</v>
      </c>
      <c r="C195" s="32" t="str">
        <f t="shared" si="60"/>
        <v/>
      </c>
      <c r="D195" s="32">
        <f t="shared" si="61"/>
        <v>45658</v>
      </c>
      <c r="E195" s="32" t="str">
        <f t="shared" si="62"/>
        <v/>
      </c>
      <c r="F195" s="32">
        <f t="shared" si="63"/>
        <v>45748</v>
      </c>
      <c r="G195" s="32" t="str">
        <f t="shared" si="64"/>
        <v/>
      </c>
      <c r="H195" s="32">
        <f t="shared" si="65"/>
        <v>45763</v>
      </c>
      <c r="I195" s="32" t="str">
        <f t="shared" si="66"/>
        <v/>
      </c>
      <c r="J195" s="32">
        <f t="shared" si="67"/>
        <v>45839</v>
      </c>
      <c r="K195" s="32" t="str">
        <f t="shared" si="68"/>
        <v/>
      </c>
      <c r="L195" s="32">
        <f t="shared" si="69"/>
        <v>45931</v>
      </c>
      <c r="M195" s="32" t="str">
        <f t="shared" si="70"/>
        <v/>
      </c>
      <c r="N195" s="32">
        <f t="shared" si="71"/>
        <v>45946</v>
      </c>
      <c r="O195" s="32" t="str">
        <f t="shared" si="72"/>
        <v/>
      </c>
      <c r="P195" s="32">
        <f t="shared" si="73"/>
        <v>46023</v>
      </c>
      <c r="Q195" s="32" t="str">
        <f t="shared" si="74"/>
        <v/>
      </c>
      <c r="R195" s="32">
        <f t="shared" si="75"/>
        <v>46113</v>
      </c>
      <c r="S195" s="32" t="str">
        <f t="shared" si="76"/>
        <v/>
      </c>
      <c r="T195" s="32">
        <f t="shared" si="77"/>
        <v>46128</v>
      </c>
      <c r="U195" s="32" t="str">
        <f t="shared" si="78"/>
        <v/>
      </c>
      <c r="V195" s="32">
        <f t="shared" si="79"/>
        <v>46204</v>
      </c>
      <c r="W195" s="32" t="str">
        <f t="shared" si="80"/>
        <v/>
      </c>
      <c r="X195" s="32">
        <f t="shared" si="81"/>
        <v>46296</v>
      </c>
      <c r="Y195" s="32" t="str">
        <f t="shared" si="82"/>
        <v/>
      </c>
      <c r="Z195" s="32">
        <f t="shared" si="83"/>
        <v>46311</v>
      </c>
      <c r="AA195" s="32" t="str">
        <f t="shared" si="84"/>
        <v/>
      </c>
      <c r="AB195" s="32">
        <f t="shared" si="85"/>
        <v>46388</v>
      </c>
      <c r="AC195" s="32" t="str">
        <f t="shared" si="86"/>
        <v/>
      </c>
      <c r="AD195" s="32">
        <f t="shared" si="87"/>
        <v>46478</v>
      </c>
      <c r="AE195" s="32" t="str">
        <f t="shared" si="88"/>
        <v/>
      </c>
      <c r="AF195" s="32">
        <f t="shared" si="89"/>
        <v>46493</v>
      </c>
      <c r="AG195" s="32" t="str">
        <f t="shared" si="90"/>
        <v/>
      </c>
      <c r="AH195" s="32">
        <f t="shared" si="91"/>
        <v>46569</v>
      </c>
      <c r="AI195" s="32" t="str">
        <f t="shared" si="92"/>
        <v/>
      </c>
      <c r="AJ195" s="32">
        <f t="shared" si="93"/>
        <v>46661</v>
      </c>
      <c r="AK195" s="32" t="str">
        <f t="shared" si="94"/>
        <v/>
      </c>
      <c r="AL195" s="32">
        <f t="shared" si="95"/>
        <v>46676</v>
      </c>
      <c r="AM195" s="32" t="str">
        <f t="shared" si="96"/>
        <v/>
      </c>
      <c r="AN195" s="32">
        <f t="shared" si="97"/>
        <v>46753</v>
      </c>
      <c r="AO195" s="32" t="str">
        <f t="shared" si="98"/>
        <v/>
      </c>
      <c r="AP195" s="32">
        <f t="shared" si="99"/>
        <v>46844</v>
      </c>
      <c r="AQ195" s="32" t="str">
        <f t="shared" si="100"/>
        <v/>
      </c>
      <c r="AR195" s="32">
        <f t="shared" si="101"/>
        <v>46859</v>
      </c>
      <c r="AS195" s="32" t="str">
        <f t="shared" si="102"/>
        <v/>
      </c>
      <c r="AT195" s="32">
        <f t="shared" si="103"/>
        <v>46935</v>
      </c>
      <c r="AU195" s="32" t="str">
        <f t="shared" si="104"/>
        <v/>
      </c>
      <c r="AV195" s="32">
        <f t="shared" si="105"/>
        <v>47027</v>
      </c>
      <c r="AW195" s="32" t="str">
        <f t="shared" si="106"/>
        <v/>
      </c>
      <c r="AX195" s="32">
        <f t="shared" si="107"/>
        <v>47042</v>
      </c>
      <c r="AY195" s="32" t="str">
        <f t="shared" si="108"/>
        <v/>
      </c>
      <c r="AZ195" s="32">
        <f t="shared" si="109"/>
        <v>47119</v>
      </c>
      <c r="BA195" s="32" t="str">
        <f t="shared" si="110"/>
        <v/>
      </c>
      <c r="BB195" s="32">
        <f t="shared" si="111"/>
        <v>47209</v>
      </c>
      <c r="BC195" s="32" t="str">
        <f t="shared" si="112"/>
        <v/>
      </c>
      <c r="BD195" s="32">
        <f t="shared" si="113"/>
        <v>47224</v>
      </c>
      <c r="BE195" s="32" t="str">
        <f t="shared" si="114"/>
        <v/>
      </c>
      <c r="BF195" s="32">
        <f t="shared" si="115"/>
        <v>47300</v>
      </c>
      <c r="BG195" s="32" t="str">
        <f t="shared" si="116"/>
        <v/>
      </c>
      <c r="BH195" s="32">
        <f t="shared" si="117"/>
        <v>47392</v>
      </c>
      <c r="BI195" s="32" t="str">
        <f t="shared" si="118"/>
        <v/>
      </c>
      <c r="BJ195" s="32">
        <f t="shared" si="119"/>
        <v>47407</v>
      </c>
      <c r="BK195" s="32" t="str">
        <f t="shared" si="120"/>
        <v/>
      </c>
      <c r="BL195" s="32" t="str">
        <f t="shared" si="121"/>
        <v/>
      </c>
      <c r="BM195" s="32" t="str">
        <f t="shared" si="122"/>
        <v/>
      </c>
      <c r="BN195" s="32" t="str">
        <f t="shared" si="123"/>
        <v/>
      </c>
      <c r="BO195" s="32" t="str">
        <f t="shared" si="124"/>
        <v/>
      </c>
      <c r="BP195" s="32" t="str">
        <f t="shared" si="125"/>
        <v/>
      </c>
      <c r="BQ195" s="32" t="str">
        <f t="shared" si="126"/>
        <v/>
      </c>
      <c r="BR195" s="32" t="str">
        <f t="shared" si="127"/>
        <v/>
      </c>
      <c r="BS195" s="32" t="str">
        <f t="shared" si="128"/>
        <v/>
      </c>
      <c r="BT195" s="32" t="str">
        <f t="shared" si="129"/>
        <v/>
      </c>
      <c r="BU195" s="32" t="str">
        <f t="shared" si="130"/>
        <v/>
      </c>
      <c r="BV195" s="32" t="str">
        <f t="shared" si="131"/>
        <v/>
      </c>
      <c r="BW195" s="32" t="str">
        <f t="shared" si="132"/>
        <v/>
      </c>
      <c r="BX195" s="32" t="str">
        <f t="shared" si="133"/>
        <v/>
      </c>
      <c r="BY195" s="32" t="str">
        <f t="shared" si="134"/>
        <v/>
      </c>
      <c r="BZ195" s="32" t="str">
        <f t="shared" si="135"/>
        <v/>
      </c>
      <c r="CA195" s="32" t="str">
        <f t="shared" si="136"/>
        <v/>
      </c>
      <c r="CB195" s="32" t="str">
        <f t="shared" si="137"/>
        <v/>
      </c>
      <c r="CC195" s="32" t="str">
        <f t="shared" si="138"/>
        <v/>
      </c>
      <c r="CD195" s="32" t="str">
        <f t="shared" si="139"/>
        <v/>
      </c>
      <c r="CE195" s="32" t="str">
        <f t="shared" si="140"/>
        <v/>
      </c>
      <c r="CF195" s="32" t="str">
        <f t="shared" si="141"/>
        <v/>
      </c>
      <c r="CG195" s="32" t="str">
        <f t="shared" si="142"/>
        <v/>
      </c>
      <c r="CH195" s="32" t="str">
        <f t="shared" si="143"/>
        <v/>
      </c>
      <c r="CI195" s="32" t="str">
        <f t="shared" si="144"/>
        <v/>
      </c>
      <c r="CJ195" s="32" t="str">
        <f t="shared" si="145"/>
        <v/>
      </c>
    </row>
    <row r="196" spans="1:88" x14ac:dyDescent="0.2">
      <c r="A196" s="32" t="str">
        <f t="shared" si="146"/>
        <v/>
      </c>
      <c r="B196" s="32">
        <f t="shared" si="59"/>
        <v>45581</v>
      </c>
      <c r="C196" s="32" t="str">
        <f t="shared" si="60"/>
        <v/>
      </c>
      <c r="D196" s="32">
        <f t="shared" si="61"/>
        <v>45658</v>
      </c>
      <c r="E196" s="32" t="str">
        <f t="shared" si="62"/>
        <v/>
      </c>
      <c r="F196" s="32">
        <f t="shared" si="63"/>
        <v>45748</v>
      </c>
      <c r="G196" s="32" t="str">
        <f t="shared" si="64"/>
        <v/>
      </c>
      <c r="H196" s="32">
        <f t="shared" si="65"/>
        <v>45763</v>
      </c>
      <c r="I196" s="32" t="str">
        <f t="shared" si="66"/>
        <v/>
      </c>
      <c r="J196" s="32">
        <f t="shared" si="67"/>
        <v>45839</v>
      </c>
      <c r="K196" s="32" t="str">
        <f t="shared" si="68"/>
        <v/>
      </c>
      <c r="L196" s="32">
        <f t="shared" si="69"/>
        <v>45931</v>
      </c>
      <c r="M196" s="32" t="str">
        <f t="shared" si="70"/>
        <v/>
      </c>
      <c r="N196" s="32">
        <f t="shared" si="71"/>
        <v>45946</v>
      </c>
      <c r="O196" s="32" t="str">
        <f t="shared" si="72"/>
        <v/>
      </c>
      <c r="P196" s="32">
        <f t="shared" si="73"/>
        <v>46023</v>
      </c>
      <c r="Q196" s="32" t="str">
        <f t="shared" si="74"/>
        <v/>
      </c>
      <c r="R196" s="32">
        <f t="shared" si="75"/>
        <v>46113</v>
      </c>
      <c r="S196" s="32" t="str">
        <f t="shared" si="76"/>
        <v/>
      </c>
      <c r="T196" s="32">
        <f t="shared" si="77"/>
        <v>46128</v>
      </c>
      <c r="U196" s="32" t="str">
        <f t="shared" si="78"/>
        <v/>
      </c>
      <c r="V196" s="32">
        <f t="shared" si="79"/>
        <v>46204</v>
      </c>
      <c r="W196" s="32" t="str">
        <f t="shared" si="80"/>
        <v/>
      </c>
      <c r="X196" s="32">
        <f t="shared" si="81"/>
        <v>46296</v>
      </c>
      <c r="Y196" s="32" t="str">
        <f t="shared" si="82"/>
        <v/>
      </c>
      <c r="Z196" s="32">
        <f t="shared" si="83"/>
        <v>46311</v>
      </c>
      <c r="AA196" s="32" t="str">
        <f t="shared" si="84"/>
        <v/>
      </c>
      <c r="AB196" s="32">
        <f t="shared" si="85"/>
        <v>46388</v>
      </c>
      <c r="AC196" s="32" t="str">
        <f t="shared" si="86"/>
        <v/>
      </c>
      <c r="AD196" s="32">
        <f t="shared" si="87"/>
        <v>46478</v>
      </c>
      <c r="AE196" s="32" t="str">
        <f t="shared" si="88"/>
        <v/>
      </c>
      <c r="AF196" s="32">
        <f t="shared" si="89"/>
        <v>46493</v>
      </c>
      <c r="AG196" s="32" t="str">
        <f t="shared" si="90"/>
        <v/>
      </c>
      <c r="AH196" s="32">
        <f t="shared" si="91"/>
        <v>46569</v>
      </c>
      <c r="AI196" s="32" t="str">
        <f t="shared" si="92"/>
        <v/>
      </c>
      <c r="AJ196" s="32">
        <f t="shared" si="93"/>
        <v>46661</v>
      </c>
      <c r="AK196" s="32" t="str">
        <f t="shared" si="94"/>
        <v/>
      </c>
      <c r="AL196" s="32">
        <f t="shared" si="95"/>
        <v>46676</v>
      </c>
      <c r="AM196" s="32" t="str">
        <f t="shared" si="96"/>
        <v/>
      </c>
      <c r="AN196" s="32">
        <f t="shared" si="97"/>
        <v>46753</v>
      </c>
      <c r="AO196" s="32" t="str">
        <f t="shared" si="98"/>
        <v/>
      </c>
      <c r="AP196" s="32">
        <f t="shared" si="99"/>
        <v>46844</v>
      </c>
      <c r="AQ196" s="32" t="str">
        <f t="shared" si="100"/>
        <v/>
      </c>
      <c r="AR196" s="32">
        <f t="shared" si="101"/>
        <v>46859</v>
      </c>
      <c r="AS196" s="32" t="str">
        <f t="shared" si="102"/>
        <v/>
      </c>
      <c r="AT196" s="32">
        <f t="shared" si="103"/>
        <v>46935</v>
      </c>
      <c r="AU196" s="32" t="str">
        <f t="shared" si="104"/>
        <v/>
      </c>
      <c r="AV196" s="32">
        <f t="shared" si="105"/>
        <v>47027</v>
      </c>
      <c r="AW196" s="32" t="str">
        <f t="shared" si="106"/>
        <v/>
      </c>
      <c r="AX196" s="32">
        <f t="shared" si="107"/>
        <v>47042</v>
      </c>
      <c r="AY196" s="32" t="str">
        <f t="shared" si="108"/>
        <v/>
      </c>
      <c r="AZ196" s="32">
        <f t="shared" si="109"/>
        <v>47119</v>
      </c>
      <c r="BA196" s="32" t="str">
        <f t="shared" si="110"/>
        <v/>
      </c>
      <c r="BB196" s="32">
        <f t="shared" si="111"/>
        <v>47209</v>
      </c>
      <c r="BC196" s="32" t="str">
        <f t="shared" si="112"/>
        <v/>
      </c>
      <c r="BD196" s="32">
        <f t="shared" si="113"/>
        <v>47224</v>
      </c>
      <c r="BE196" s="32" t="str">
        <f t="shared" si="114"/>
        <v/>
      </c>
      <c r="BF196" s="32">
        <f t="shared" si="115"/>
        <v>47300</v>
      </c>
      <c r="BG196" s="32" t="str">
        <f t="shared" si="116"/>
        <v/>
      </c>
      <c r="BH196" s="32">
        <f t="shared" si="117"/>
        <v>47392</v>
      </c>
      <c r="BI196" s="32" t="str">
        <f t="shared" si="118"/>
        <v/>
      </c>
      <c r="BJ196" s="32">
        <f t="shared" si="119"/>
        <v>47407</v>
      </c>
      <c r="BK196" s="32" t="str">
        <f t="shared" si="120"/>
        <v/>
      </c>
      <c r="BL196" s="32" t="str">
        <f t="shared" si="121"/>
        <v/>
      </c>
      <c r="BM196" s="32" t="str">
        <f t="shared" si="122"/>
        <v/>
      </c>
      <c r="BN196" s="32" t="str">
        <f t="shared" si="123"/>
        <v/>
      </c>
      <c r="BO196" s="32" t="str">
        <f t="shared" si="124"/>
        <v/>
      </c>
      <c r="BP196" s="32" t="str">
        <f t="shared" si="125"/>
        <v/>
      </c>
      <c r="BQ196" s="32" t="str">
        <f t="shared" si="126"/>
        <v/>
      </c>
      <c r="BR196" s="32" t="str">
        <f t="shared" si="127"/>
        <v/>
      </c>
      <c r="BS196" s="32" t="str">
        <f t="shared" si="128"/>
        <v/>
      </c>
      <c r="BT196" s="32" t="str">
        <f t="shared" si="129"/>
        <v/>
      </c>
      <c r="BU196" s="32" t="str">
        <f t="shared" si="130"/>
        <v/>
      </c>
      <c r="BV196" s="32" t="str">
        <f t="shared" si="131"/>
        <v/>
      </c>
      <c r="BW196" s="32" t="str">
        <f t="shared" si="132"/>
        <v/>
      </c>
      <c r="BX196" s="32" t="str">
        <f t="shared" si="133"/>
        <v/>
      </c>
      <c r="BY196" s="32" t="str">
        <f t="shared" si="134"/>
        <v/>
      </c>
      <c r="BZ196" s="32" t="str">
        <f t="shared" si="135"/>
        <v/>
      </c>
      <c r="CA196" s="32" t="str">
        <f t="shared" si="136"/>
        <v/>
      </c>
      <c r="CB196" s="32" t="str">
        <f t="shared" si="137"/>
        <v/>
      </c>
      <c r="CC196" s="32" t="str">
        <f t="shared" si="138"/>
        <v/>
      </c>
      <c r="CD196" s="32" t="str">
        <f t="shared" si="139"/>
        <v/>
      </c>
      <c r="CE196" s="32" t="str">
        <f t="shared" si="140"/>
        <v/>
      </c>
      <c r="CF196" s="32" t="str">
        <f t="shared" si="141"/>
        <v/>
      </c>
      <c r="CG196" s="32" t="str">
        <f t="shared" si="142"/>
        <v/>
      </c>
      <c r="CH196" s="32" t="str">
        <f t="shared" si="143"/>
        <v/>
      </c>
      <c r="CI196" s="32" t="str">
        <f t="shared" si="144"/>
        <v/>
      </c>
      <c r="CJ196" s="32" t="str">
        <f t="shared" si="145"/>
        <v/>
      </c>
    </row>
    <row r="197" spans="1:88" x14ac:dyDescent="0.2">
      <c r="A197" s="32" t="str">
        <f t="shared" si="146"/>
        <v/>
      </c>
      <c r="B197" s="32">
        <f t="shared" si="59"/>
        <v>45581</v>
      </c>
      <c r="C197" s="32" t="str">
        <f t="shared" si="60"/>
        <v/>
      </c>
      <c r="D197" s="32">
        <f t="shared" si="61"/>
        <v>45658</v>
      </c>
      <c r="E197" s="32" t="str">
        <f t="shared" si="62"/>
        <v/>
      </c>
      <c r="F197" s="32">
        <f t="shared" si="63"/>
        <v>45748</v>
      </c>
      <c r="G197" s="32" t="str">
        <f t="shared" si="64"/>
        <v/>
      </c>
      <c r="H197" s="32">
        <f t="shared" si="65"/>
        <v>45763</v>
      </c>
      <c r="I197" s="32" t="str">
        <f t="shared" si="66"/>
        <v/>
      </c>
      <c r="J197" s="32">
        <f t="shared" si="67"/>
        <v>45839</v>
      </c>
      <c r="K197" s="32" t="str">
        <f t="shared" si="68"/>
        <v/>
      </c>
      <c r="L197" s="32">
        <f t="shared" si="69"/>
        <v>45931</v>
      </c>
      <c r="M197" s="32" t="str">
        <f t="shared" si="70"/>
        <v/>
      </c>
      <c r="N197" s="32">
        <f t="shared" si="71"/>
        <v>45946</v>
      </c>
      <c r="O197" s="32" t="str">
        <f t="shared" si="72"/>
        <v/>
      </c>
      <c r="P197" s="32">
        <f t="shared" si="73"/>
        <v>46023</v>
      </c>
      <c r="Q197" s="32" t="str">
        <f t="shared" si="74"/>
        <v/>
      </c>
      <c r="R197" s="32">
        <f t="shared" si="75"/>
        <v>46113</v>
      </c>
      <c r="S197" s="32" t="str">
        <f t="shared" si="76"/>
        <v/>
      </c>
      <c r="T197" s="32">
        <f t="shared" si="77"/>
        <v>46128</v>
      </c>
      <c r="U197" s="32" t="str">
        <f t="shared" si="78"/>
        <v/>
      </c>
      <c r="V197" s="32">
        <f t="shared" si="79"/>
        <v>46204</v>
      </c>
      <c r="W197" s="32" t="str">
        <f t="shared" si="80"/>
        <v/>
      </c>
      <c r="X197" s="32">
        <f t="shared" si="81"/>
        <v>46296</v>
      </c>
      <c r="Y197" s="32" t="str">
        <f t="shared" si="82"/>
        <v/>
      </c>
      <c r="Z197" s="32">
        <f t="shared" si="83"/>
        <v>46311</v>
      </c>
      <c r="AA197" s="32" t="str">
        <f t="shared" si="84"/>
        <v/>
      </c>
      <c r="AB197" s="32">
        <f t="shared" si="85"/>
        <v>46388</v>
      </c>
      <c r="AC197" s="32" t="str">
        <f t="shared" si="86"/>
        <v/>
      </c>
      <c r="AD197" s="32">
        <f t="shared" si="87"/>
        <v>46478</v>
      </c>
      <c r="AE197" s="32" t="str">
        <f t="shared" si="88"/>
        <v/>
      </c>
      <c r="AF197" s="32">
        <f t="shared" si="89"/>
        <v>46493</v>
      </c>
      <c r="AG197" s="32" t="str">
        <f t="shared" si="90"/>
        <v/>
      </c>
      <c r="AH197" s="32">
        <f t="shared" si="91"/>
        <v>46569</v>
      </c>
      <c r="AI197" s="32" t="str">
        <f t="shared" si="92"/>
        <v/>
      </c>
      <c r="AJ197" s="32">
        <f t="shared" si="93"/>
        <v>46661</v>
      </c>
      <c r="AK197" s="32" t="str">
        <f t="shared" si="94"/>
        <v/>
      </c>
      <c r="AL197" s="32">
        <f t="shared" si="95"/>
        <v>46676</v>
      </c>
      <c r="AM197" s="32" t="str">
        <f t="shared" si="96"/>
        <v/>
      </c>
      <c r="AN197" s="32">
        <f t="shared" si="97"/>
        <v>46753</v>
      </c>
      <c r="AO197" s="32" t="str">
        <f t="shared" si="98"/>
        <v/>
      </c>
      <c r="AP197" s="32">
        <f t="shared" si="99"/>
        <v>46844</v>
      </c>
      <c r="AQ197" s="32" t="str">
        <f t="shared" si="100"/>
        <v/>
      </c>
      <c r="AR197" s="32">
        <f t="shared" si="101"/>
        <v>46859</v>
      </c>
      <c r="AS197" s="32" t="str">
        <f t="shared" si="102"/>
        <v/>
      </c>
      <c r="AT197" s="32">
        <f t="shared" si="103"/>
        <v>46935</v>
      </c>
      <c r="AU197" s="32" t="str">
        <f t="shared" si="104"/>
        <v/>
      </c>
      <c r="AV197" s="32">
        <f t="shared" si="105"/>
        <v>47027</v>
      </c>
      <c r="AW197" s="32" t="str">
        <f t="shared" si="106"/>
        <v/>
      </c>
      <c r="AX197" s="32">
        <f t="shared" si="107"/>
        <v>47042</v>
      </c>
      <c r="AY197" s="32" t="str">
        <f t="shared" si="108"/>
        <v/>
      </c>
      <c r="AZ197" s="32">
        <f t="shared" si="109"/>
        <v>47119</v>
      </c>
      <c r="BA197" s="32" t="str">
        <f t="shared" si="110"/>
        <v/>
      </c>
      <c r="BB197" s="32">
        <f t="shared" si="111"/>
        <v>47209</v>
      </c>
      <c r="BC197" s="32" t="str">
        <f t="shared" si="112"/>
        <v/>
      </c>
      <c r="BD197" s="32">
        <f t="shared" si="113"/>
        <v>47224</v>
      </c>
      <c r="BE197" s="32" t="str">
        <f t="shared" si="114"/>
        <v/>
      </c>
      <c r="BF197" s="32">
        <f t="shared" si="115"/>
        <v>47300</v>
      </c>
      <c r="BG197" s="32" t="str">
        <f t="shared" si="116"/>
        <v/>
      </c>
      <c r="BH197" s="32">
        <f t="shared" si="117"/>
        <v>47392</v>
      </c>
      <c r="BI197" s="32" t="str">
        <f t="shared" si="118"/>
        <v/>
      </c>
      <c r="BJ197" s="32">
        <f t="shared" si="119"/>
        <v>47407</v>
      </c>
      <c r="BK197" s="32" t="str">
        <f t="shared" si="120"/>
        <v/>
      </c>
      <c r="BL197" s="32" t="str">
        <f t="shared" si="121"/>
        <v/>
      </c>
      <c r="BM197" s="32" t="str">
        <f t="shared" si="122"/>
        <v/>
      </c>
      <c r="BN197" s="32" t="str">
        <f t="shared" si="123"/>
        <v/>
      </c>
      <c r="BO197" s="32" t="str">
        <f t="shared" si="124"/>
        <v/>
      </c>
      <c r="BP197" s="32" t="str">
        <f t="shared" si="125"/>
        <v/>
      </c>
      <c r="BQ197" s="32" t="str">
        <f t="shared" si="126"/>
        <v/>
      </c>
      <c r="BR197" s="32" t="str">
        <f t="shared" si="127"/>
        <v/>
      </c>
      <c r="BS197" s="32" t="str">
        <f t="shared" si="128"/>
        <v/>
      </c>
      <c r="BT197" s="32" t="str">
        <f t="shared" si="129"/>
        <v/>
      </c>
      <c r="BU197" s="32" t="str">
        <f t="shared" si="130"/>
        <v/>
      </c>
      <c r="BV197" s="32" t="str">
        <f t="shared" si="131"/>
        <v/>
      </c>
      <c r="BW197" s="32" t="str">
        <f t="shared" si="132"/>
        <v/>
      </c>
      <c r="BX197" s="32" t="str">
        <f t="shared" si="133"/>
        <v/>
      </c>
      <c r="BY197" s="32" t="str">
        <f t="shared" si="134"/>
        <v/>
      </c>
      <c r="BZ197" s="32" t="str">
        <f t="shared" si="135"/>
        <v/>
      </c>
      <c r="CA197" s="32" t="str">
        <f t="shared" si="136"/>
        <v/>
      </c>
      <c r="CB197" s="32" t="str">
        <f t="shared" si="137"/>
        <v/>
      </c>
      <c r="CC197" s="32" t="str">
        <f t="shared" si="138"/>
        <v/>
      </c>
      <c r="CD197" s="32" t="str">
        <f t="shared" si="139"/>
        <v/>
      </c>
      <c r="CE197" s="32" t="str">
        <f t="shared" si="140"/>
        <v/>
      </c>
      <c r="CF197" s="32" t="str">
        <f t="shared" si="141"/>
        <v/>
      </c>
      <c r="CG197" s="32" t="str">
        <f t="shared" si="142"/>
        <v/>
      </c>
      <c r="CH197" s="32" t="str">
        <f t="shared" si="143"/>
        <v/>
      </c>
      <c r="CI197" s="32" t="str">
        <f t="shared" si="144"/>
        <v/>
      </c>
      <c r="CJ197" s="32" t="str">
        <f t="shared" si="145"/>
        <v/>
      </c>
    </row>
    <row r="200" spans="1:88" x14ac:dyDescent="0.2">
      <c r="Y200" s="258" t="s">
        <v>335</v>
      </c>
      <c r="Z200" s="258" t="s">
        <v>336</v>
      </c>
      <c r="AA200" s="258" t="s">
        <v>337</v>
      </c>
    </row>
    <row r="201" spans="1:88" ht="19.5" x14ac:dyDescent="0.25">
      <c r="A201" s="482" t="s">
        <v>75</v>
      </c>
      <c r="B201" s="482"/>
      <c r="C201" s="482"/>
      <c r="D201" s="482"/>
      <c r="E201" s="482"/>
      <c r="F201" s="482"/>
      <c r="G201" s="482"/>
      <c r="H201" s="482"/>
      <c r="I201" s="482"/>
      <c r="J201" s="482"/>
      <c r="K201" s="482"/>
      <c r="L201" s="482"/>
      <c r="M201" s="482"/>
      <c r="N201" s="482"/>
      <c r="O201" s="482"/>
      <c r="P201" s="482"/>
      <c r="Q201" s="482"/>
      <c r="R201" s="482"/>
      <c r="S201" s="482"/>
      <c r="T201" s="196" t="s">
        <v>63</v>
      </c>
      <c r="U201" s="483" t="s">
        <v>334</v>
      </c>
      <c r="V201" s="483"/>
      <c r="W201" s="483"/>
      <c r="X201" s="256">
        <f>MIN(X202:X246)</f>
        <v>1</v>
      </c>
      <c r="Y201" s="257" t="str">
        <f ca="1">VLOOKUP(X201,$X$203:$AA$246,2,FALSE)</f>
        <v>$D$203</v>
      </c>
      <c r="Z201" s="257" t="str">
        <f ca="1">VLOOKUP(X201,$X$203:$AA$246,3,FALSE)</f>
        <v>$Q$203</v>
      </c>
      <c r="AA201" s="257" t="str">
        <f ca="1">VLOOKUP(X201,$X$203:$AA$246,4,FALSE)</f>
        <v>$T$203</v>
      </c>
      <c r="AB201" s="246"/>
      <c r="AC201" s="250" t="s">
        <v>340</v>
      </c>
      <c r="AD201" s="252" t="s">
        <v>338</v>
      </c>
      <c r="AE201" s="253" t="s">
        <v>342</v>
      </c>
      <c r="AF201" s="254"/>
      <c r="AG201" s="252" t="s">
        <v>341</v>
      </c>
    </row>
    <row r="202" spans="1:88" ht="15" x14ac:dyDescent="0.2">
      <c r="A202" s="472" t="s">
        <v>62</v>
      </c>
      <c r="B202" s="473"/>
      <c r="C202" s="473"/>
      <c r="D202" s="474"/>
      <c r="E202" s="45" t="s">
        <v>38</v>
      </c>
      <c r="F202" s="45" t="s">
        <v>42</v>
      </c>
      <c r="G202" s="45" t="s">
        <v>45</v>
      </c>
      <c r="H202" s="46" t="s">
        <v>39</v>
      </c>
      <c r="I202" s="46" t="s">
        <v>46</v>
      </c>
      <c r="J202" s="46" t="s">
        <v>42</v>
      </c>
      <c r="K202" s="46" t="s">
        <v>44</v>
      </c>
      <c r="L202" s="47" t="s">
        <v>77</v>
      </c>
      <c r="M202" s="47" t="s">
        <v>44</v>
      </c>
      <c r="N202" s="48" t="s">
        <v>40</v>
      </c>
      <c r="O202" s="48" t="s">
        <v>42</v>
      </c>
      <c r="P202" s="48" t="s">
        <v>44</v>
      </c>
      <c r="Q202" s="49" t="s">
        <v>63</v>
      </c>
      <c r="R202" s="49" t="s">
        <v>50</v>
      </c>
      <c r="S202" s="49" t="s">
        <v>51</v>
      </c>
      <c r="T202" s="196" t="s">
        <v>249</v>
      </c>
      <c r="U202" s="198" t="s">
        <v>41</v>
      </c>
      <c r="V202" s="198" t="s">
        <v>42</v>
      </c>
      <c r="W202" s="198" t="s">
        <v>253</v>
      </c>
      <c r="X202" s="256">
        <f>MAX(X203:X246)</f>
        <v>31</v>
      </c>
      <c r="Y202" s="257" t="str">
        <f ca="1">VLOOKUP(X202,$X$203:$AA$246,2,FALSE)</f>
        <v>$D$233</v>
      </c>
      <c r="Z202" s="257" t="str">
        <f ca="1">VLOOKUP(X202,$X$203:$AA$246,3,FALSE)</f>
        <v>$Q$233</v>
      </c>
      <c r="AA202" s="257" t="str">
        <f ca="1">VLOOKUP(X202,$X$203:$AA$246,4,FALSE)</f>
        <v>$T$233</v>
      </c>
      <c r="AB202" s="125"/>
      <c r="AC202" s="251" t="s">
        <v>338</v>
      </c>
      <c r="AD202" s="252" t="s">
        <v>339</v>
      </c>
      <c r="AE202" s="253" t="s">
        <v>343</v>
      </c>
      <c r="AF202" s="254"/>
      <c r="AG202" s="252" t="s">
        <v>326</v>
      </c>
    </row>
    <row r="203" spans="1:88" x14ac:dyDescent="0.2">
      <c r="A203" s="41">
        <v>1</v>
      </c>
      <c r="B203" s="42">
        <f>HLOOKUP(A203,$B$150:$CJ$151,2,FALSE)</f>
        <v>45581</v>
      </c>
      <c r="C203" s="41">
        <f>IF(B203=0,"",A203)</f>
        <v>1</v>
      </c>
      <c r="D203" s="42">
        <f>IF(B203=0,"",B203)</f>
        <v>45581</v>
      </c>
      <c r="E203" s="33">
        <f t="shared" ref="E203:E246" si="147">IF(D203="","",IF(ISERROR(VLOOKUP(D203,$I$56:$O$57,2,FALSE))=TRUE,0,VLOOKUP(D203,$I$56:$O$57,2,FALSE)))</f>
        <v>-2500</v>
      </c>
      <c r="F203" s="34">
        <f t="shared" ref="F203:F246" si="148">IF(D203="","",IF(ISERROR(VLOOKUP(D203,$I$56:$O$57,3,FALSE))=TRUE,0,VLOOKUP(D203,$I$56:$O$57,3,FALSE)))</f>
        <v>-12.5</v>
      </c>
      <c r="G203" s="34">
        <f t="shared" ref="G203:G246" si="149">IF(D203="","",IF(ISERROR(VLOOKUP(D203,$I$56:$O$57,4,FALSE))=TRUE,0,VLOOKUP(D203,$I$56:$O$57,4,FALSE)))</f>
        <v>-0.5</v>
      </c>
      <c r="H203" s="35">
        <f>IF(D203="","",IF(ISERROR(VLOOKUP(D203,$C$80:$H$95,3,FALSE))=TRUE,0,VLOOKUP(D203,$C$80:$H$95,3,FALSE)))</f>
        <v>0</v>
      </c>
      <c r="I203" s="35">
        <f>IF(D203="","",IF(ISERROR(VLOOKUP(D203,$C$80:$H$95,4,FALSE))=TRUE,0,VLOOKUP(D203,$C$80:$H$95,4,FALSE)))</f>
        <v>0</v>
      </c>
      <c r="J203" s="35">
        <f>IF(D203="","",IF(ISERROR(VLOOKUP(D203,$C$80:$H$95,5,FALSE))=TRUE,0,VLOOKUP(D203,$C$80:$H$95,5,FALSE)))</f>
        <v>0</v>
      </c>
      <c r="K203" s="35">
        <f>IF(D203="","",IF(ISERROR(VLOOKUP(D203,$C$80:$H$95,6,FALSE))=TRUE,0,VLOOKUP(D203,$C$80:$H$95,6,FALSE)))</f>
        <v>0</v>
      </c>
      <c r="L203" s="36">
        <f>IF(D203="","",IF(ISERROR(VLOOKUP(D203,$D$117:$F$146,2,FALSE))=TRUE,0,VLOOKUP(D203,$D$117:$F$146,2,FALSE)))</f>
        <v>0</v>
      </c>
      <c r="M203" s="36">
        <f>IF(D203="","",IF(ISERROR(VLOOKUP(D203,$D$117:$F$146,3,FALSE))=TRUE,0,VLOOKUP(D203,$D$117:$F$146,3,FALSE)))</f>
        <v>0</v>
      </c>
      <c r="N203" s="37">
        <f t="shared" ref="N203:N246" si="150">IF(D203="","",IF(ISERROR(VLOOKUP(D203,$R$55:$T$73,3,FALSE))=TRUE,0,VLOOKUP(D203,$R$55:$T$73,3,FALSE)))</f>
        <v>0</v>
      </c>
      <c r="O203" s="37">
        <f t="shared" ref="O203:O246" si="151">IF(D203="","",IF(ISERROR(VLOOKUP(D203,$I$56:$O$62,6,FALSE))=TRUE,0,VLOOKUP(D203,$I$56:$O$62,6,FALSE)))</f>
        <v>0</v>
      </c>
      <c r="P203" s="37">
        <f t="shared" ref="P203:P246" si="152">IF(D203="","",IF(ISERROR(VLOOKUP(D203,$I$56:$O$62,7,FALSE))=TRUE,0,VLOOKUP(D203,$I$56:$O$62,7,FALSE)))</f>
        <v>0</v>
      </c>
      <c r="Q203" s="38">
        <f>IF(D203="","",SUM(E203:P203))</f>
        <v>-2513</v>
      </c>
      <c r="R203" s="39">
        <f>IF(D203="","",_xlfn.DAYS(D203,B14))</f>
        <v>0</v>
      </c>
      <c r="S203" s="38">
        <f>IF(Q203="","",Q203/(1+$S$248)^(R203/360))</f>
        <v>-2513</v>
      </c>
      <c r="T203" s="197">
        <f>IF(D203="","",(E203+F203+H203+J203+L203+N203+O203))</f>
        <v>-2512.5</v>
      </c>
      <c r="U203" s="199">
        <f>IF(D203="","",(E203+N203))</f>
        <v>-2500</v>
      </c>
      <c r="V203" s="198">
        <f>IF(D203="","",(F203+O203))</f>
        <v>-12.5</v>
      </c>
      <c r="W203" s="198">
        <f>IF(D203="","",(G203+P203))</f>
        <v>-0.5</v>
      </c>
      <c r="X203" s="255">
        <f t="shared" ref="X203:X210" si="153">IF(T203="","",C203)</f>
        <v>1</v>
      </c>
      <c r="Y203" s="255" t="str" cm="1">
        <f t="array" aca="1" ref="Y203" ca="1">IF(D203="","",CELL("address",D203))</f>
        <v>$D$203</v>
      </c>
      <c r="Z203" s="255" t="str" cm="1">
        <f t="array" aca="1" ref="Z203" ca="1">IF(Q203="","",CELL("address",Q203))</f>
        <v>$Q$203</v>
      </c>
      <c r="AA203" s="255" t="str" cm="1">
        <f t="array" aca="1" ref="AA203" ca="1">IF(T203="","",CELL("address",T203))</f>
        <v>$T$203</v>
      </c>
    </row>
    <row r="204" spans="1:88" x14ac:dyDescent="0.2">
      <c r="A204" s="41">
        <v>2</v>
      </c>
      <c r="B204" s="42">
        <f t="shared" ref="B204:B246" si="154">HLOOKUP(A204,$B$150:$CJ$151,2,FALSE)</f>
        <v>45658</v>
      </c>
      <c r="C204" s="41">
        <f t="shared" ref="C204:C233" si="155">IF(B204=0,"",A204)</f>
        <v>2</v>
      </c>
      <c r="D204" s="42">
        <f t="shared" ref="D204:D246" si="156">IF(B204=0,"",B204)</f>
        <v>45658</v>
      </c>
      <c r="E204" s="33">
        <f t="shared" si="147"/>
        <v>0</v>
      </c>
      <c r="F204" s="34">
        <f t="shared" si="148"/>
        <v>0</v>
      </c>
      <c r="G204" s="34">
        <f t="shared" si="149"/>
        <v>0</v>
      </c>
      <c r="H204" s="35">
        <f t="shared" ref="H204:H246" si="157">IF(D204="","",IF(ISERROR(VLOOKUP(D204,$C$80:$H$95,3,FALSE))=TRUE,0,VLOOKUP(D204,$C$80:$H$95,3,FALSE)))</f>
        <v>0</v>
      </c>
      <c r="I204" s="35">
        <f t="shared" ref="I204:I246" si="158">IF(D204="","",IF(ISERROR(VLOOKUP(D204,$C$80:$H$95,4,FALSE))=TRUE,0,VLOOKUP(D204,$C$80:$H$95,4,FALSE)))</f>
        <v>0</v>
      </c>
      <c r="J204" s="35">
        <f t="shared" ref="J204:J246" si="159">IF(D204="","",IF(ISERROR(VLOOKUP(D204,$C$80:$H$95,5,FALSE))=TRUE,0,VLOOKUP(D204,$C$80:$H$95,5,FALSE)))</f>
        <v>0</v>
      </c>
      <c r="K204" s="35">
        <f t="shared" ref="K204:K246" si="160">IF(D204="","",IF(ISERROR(VLOOKUP(D204,$C$80:$H$95,6,FALSE))=TRUE,0,VLOOKUP(D204,$C$80:$H$95,6,FALSE)))</f>
        <v>0</v>
      </c>
      <c r="L204" s="36">
        <f t="shared" ref="L204:L246" si="161">IF(D204="","",IF(ISERROR(VLOOKUP(D204,$D$117:$F$146,2,FALSE))=TRUE,0,VLOOKUP(D204,$D$117:$F$146,2,FALSE)))</f>
        <v>-7.5</v>
      </c>
      <c r="M204" s="36">
        <f t="shared" ref="M204:M246" si="162">IF(D204="","",IF(ISERROR(VLOOKUP(D204,$D$117:$F$146,3,FALSE))=TRUE,0,VLOOKUP(D204,$D$117:$F$146,3,FALSE)))</f>
        <v>-1.73</v>
      </c>
      <c r="N204" s="37">
        <f t="shared" si="150"/>
        <v>0</v>
      </c>
      <c r="O204" s="37">
        <f t="shared" si="151"/>
        <v>0</v>
      </c>
      <c r="P204" s="37">
        <f t="shared" si="152"/>
        <v>0</v>
      </c>
      <c r="Q204" s="38">
        <f t="shared" ref="Q204:Q246" si="163">IF(D204="","",SUM(E204:P204))</f>
        <v>-9.23</v>
      </c>
      <c r="R204" s="39">
        <f>IF(D204="","",_xlfn.DAYS(D204,D203)+R203)</f>
        <v>77</v>
      </c>
      <c r="S204" s="38">
        <f>IF(Q204="","",Q204/(1+$S$248)^(R204/360))</f>
        <v>-9.1607282309648355</v>
      </c>
      <c r="T204" s="197">
        <f t="shared" ref="T204:T246" si="164">IF(D204="","",(E204+F204+H204+J204+L204+N204+O204))</f>
        <v>-7.5</v>
      </c>
      <c r="U204" s="199">
        <f t="shared" ref="U204:U246" si="165">IF(D204="","",(E204+N204))</f>
        <v>0</v>
      </c>
      <c r="V204" s="198">
        <f t="shared" ref="V204:V246" si="166">IF(D204="","",(F204+O204))</f>
        <v>0</v>
      </c>
      <c r="W204" s="198">
        <f t="shared" ref="W204:W246" si="167">IF(D204="","",(G204+P204))</f>
        <v>0</v>
      </c>
      <c r="X204" s="255">
        <f t="shared" si="153"/>
        <v>2</v>
      </c>
      <c r="Y204" s="255" t="str" cm="1">
        <f t="array" aca="1" ref="Y204" ca="1">IF(D204="","",CELL("address",D204))</f>
        <v>$D$204</v>
      </c>
      <c r="Z204" s="255" t="str" cm="1">
        <f t="array" aca="1" ref="Z204" ca="1">IF(Q204="","",CELL("address",Q204))</f>
        <v>$Q$204</v>
      </c>
      <c r="AA204" s="255" t="str" cm="1">
        <f t="array" aca="1" ref="AA204" ca="1">IF(T204="","",CELL("address",T204))</f>
        <v>$T$204</v>
      </c>
    </row>
    <row r="205" spans="1:88" x14ac:dyDescent="0.2">
      <c r="A205" s="41">
        <v>3</v>
      </c>
      <c r="B205" s="42">
        <f t="shared" si="154"/>
        <v>45748</v>
      </c>
      <c r="C205" s="41">
        <f t="shared" si="155"/>
        <v>3</v>
      </c>
      <c r="D205" s="42">
        <f t="shared" si="156"/>
        <v>45748</v>
      </c>
      <c r="E205" s="33">
        <f t="shared" si="147"/>
        <v>0</v>
      </c>
      <c r="F205" s="34">
        <f t="shared" si="148"/>
        <v>0</v>
      </c>
      <c r="G205" s="34">
        <f t="shared" si="149"/>
        <v>0</v>
      </c>
      <c r="H205" s="35">
        <f t="shared" si="157"/>
        <v>0</v>
      </c>
      <c r="I205" s="35">
        <f t="shared" si="158"/>
        <v>0</v>
      </c>
      <c r="J205" s="35">
        <f t="shared" si="159"/>
        <v>0</v>
      </c>
      <c r="K205" s="35">
        <f t="shared" si="160"/>
        <v>0</v>
      </c>
      <c r="L205" s="36">
        <f t="shared" si="161"/>
        <v>-7.5</v>
      </c>
      <c r="M205" s="36">
        <f t="shared" si="162"/>
        <v>-1.73</v>
      </c>
      <c r="N205" s="37">
        <f t="shared" si="150"/>
        <v>0</v>
      </c>
      <c r="O205" s="37">
        <f t="shared" si="151"/>
        <v>0</v>
      </c>
      <c r="P205" s="37">
        <f t="shared" si="152"/>
        <v>0</v>
      </c>
      <c r="Q205" s="38">
        <f t="shared" si="163"/>
        <v>-9.23</v>
      </c>
      <c r="R205" s="39">
        <f t="shared" ref="R205:R246" si="168">IF(D205="","",_xlfn.DAYS(D205,D204)+R204)</f>
        <v>167</v>
      </c>
      <c r="S205" s="38">
        <f t="shared" ref="S205:S246" si="169">IF(Q205="","",Q205/(1+$S$248)^(R205/360))</f>
        <v>-9.0804199084365376</v>
      </c>
      <c r="T205" s="197">
        <f t="shared" si="164"/>
        <v>-7.5</v>
      </c>
      <c r="U205" s="199">
        <f t="shared" si="165"/>
        <v>0</v>
      </c>
      <c r="V205" s="198">
        <f t="shared" si="166"/>
        <v>0</v>
      </c>
      <c r="W205" s="198">
        <f t="shared" si="167"/>
        <v>0</v>
      </c>
      <c r="X205" s="255">
        <f t="shared" si="153"/>
        <v>3</v>
      </c>
      <c r="Y205" s="255" t="str" cm="1">
        <f t="array" aca="1" ref="Y205" ca="1">IF(D205="","",CELL("address",D205))</f>
        <v>$D$205</v>
      </c>
      <c r="Z205" s="255" t="str" cm="1">
        <f t="array" aca="1" ref="Z205" ca="1">IF(Q205="","",CELL("address",Q205))</f>
        <v>$Q$205</v>
      </c>
      <c r="AA205" s="255" t="str" cm="1">
        <f t="array" aca="1" ref="AA205" ca="1">IF(T205="","",CELL("address",T205))</f>
        <v>$T$205</v>
      </c>
    </row>
    <row r="206" spans="1:88" x14ac:dyDescent="0.2">
      <c r="A206" s="41">
        <v>4</v>
      </c>
      <c r="B206" s="42">
        <f t="shared" si="154"/>
        <v>45763</v>
      </c>
      <c r="C206" s="41">
        <f t="shared" si="155"/>
        <v>4</v>
      </c>
      <c r="D206" s="42">
        <f t="shared" si="156"/>
        <v>45763</v>
      </c>
      <c r="E206" s="33">
        <f t="shared" si="147"/>
        <v>0</v>
      </c>
      <c r="F206" s="34">
        <f t="shared" si="148"/>
        <v>0</v>
      </c>
      <c r="G206" s="34">
        <f t="shared" si="149"/>
        <v>0</v>
      </c>
      <c r="H206" s="35">
        <f t="shared" si="157"/>
        <v>62.5</v>
      </c>
      <c r="I206" s="35">
        <f t="shared" si="158"/>
        <v>-17.5</v>
      </c>
      <c r="J206" s="35">
        <f t="shared" si="159"/>
        <v>-5</v>
      </c>
      <c r="K206" s="35">
        <f t="shared" si="160"/>
        <v>-1.1499999999999999</v>
      </c>
      <c r="L206" s="36">
        <f t="shared" si="161"/>
        <v>0</v>
      </c>
      <c r="M206" s="36">
        <f t="shared" si="162"/>
        <v>0</v>
      </c>
      <c r="N206" s="37">
        <f t="shared" si="150"/>
        <v>0</v>
      </c>
      <c r="O206" s="37">
        <f t="shared" si="151"/>
        <v>0</v>
      </c>
      <c r="P206" s="37">
        <f t="shared" si="152"/>
        <v>0</v>
      </c>
      <c r="Q206" s="38">
        <f t="shared" si="163"/>
        <v>38.85</v>
      </c>
      <c r="R206" s="39">
        <f t="shared" si="168"/>
        <v>182</v>
      </c>
      <c r="S206" s="38">
        <f t="shared" si="169"/>
        <v>38.164353492493063</v>
      </c>
      <c r="T206" s="197">
        <f t="shared" si="164"/>
        <v>57.5</v>
      </c>
      <c r="U206" s="199">
        <f t="shared" si="165"/>
        <v>0</v>
      </c>
      <c r="V206" s="198">
        <f t="shared" si="166"/>
        <v>0</v>
      </c>
      <c r="W206" s="198">
        <f t="shared" si="167"/>
        <v>0</v>
      </c>
      <c r="X206" s="255">
        <f t="shared" si="153"/>
        <v>4</v>
      </c>
      <c r="Y206" s="255" t="str" cm="1">
        <f t="array" aca="1" ref="Y206" ca="1">IF(D206="","",CELL("address",D206))</f>
        <v>$D$206</v>
      </c>
      <c r="Z206" s="255" t="str" cm="1">
        <f t="array" aca="1" ref="Z206" ca="1">IF(Q206="","",CELL("address",Q206))</f>
        <v>$Q$206</v>
      </c>
      <c r="AA206" s="255" t="str" cm="1">
        <f t="array" aca="1" ref="AA206" ca="1">IF(T206="","",CELL("address",T206))</f>
        <v>$T$206</v>
      </c>
    </row>
    <row r="207" spans="1:88" x14ac:dyDescent="0.2">
      <c r="A207" s="41">
        <v>5</v>
      </c>
      <c r="B207" s="42">
        <f t="shared" si="154"/>
        <v>45839</v>
      </c>
      <c r="C207" s="41">
        <f t="shared" si="155"/>
        <v>5</v>
      </c>
      <c r="D207" s="42">
        <f t="shared" si="156"/>
        <v>45839</v>
      </c>
      <c r="E207" s="33">
        <f t="shared" si="147"/>
        <v>0</v>
      </c>
      <c r="F207" s="34">
        <f t="shared" si="148"/>
        <v>0</v>
      </c>
      <c r="G207" s="34">
        <f t="shared" si="149"/>
        <v>0</v>
      </c>
      <c r="H207" s="35">
        <f t="shared" si="157"/>
        <v>0</v>
      </c>
      <c r="I207" s="35">
        <f t="shared" si="158"/>
        <v>0</v>
      </c>
      <c r="J207" s="35">
        <f t="shared" si="159"/>
        <v>0</v>
      </c>
      <c r="K207" s="35">
        <f t="shared" si="160"/>
        <v>0</v>
      </c>
      <c r="L207" s="36">
        <f t="shared" si="161"/>
        <v>-7.5</v>
      </c>
      <c r="M207" s="36">
        <f t="shared" si="162"/>
        <v>-1.73</v>
      </c>
      <c r="N207" s="37">
        <f t="shared" si="150"/>
        <v>0</v>
      </c>
      <c r="O207" s="37">
        <f t="shared" si="151"/>
        <v>0</v>
      </c>
      <c r="P207" s="37">
        <f t="shared" si="152"/>
        <v>0</v>
      </c>
      <c r="Q207" s="38">
        <f t="shared" si="163"/>
        <v>-9.23</v>
      </c>
      <c r="R207" s="39">
        <f t="shared" si="168"/>
        <v>258</v>
      </c>
      <c r="S207" s="38">
        <f t="shared" si="169"/>
        <v>-8.999935055121453</v>
      </c>
      <c r="T207" s="197">
        <f t="shared" si="164"/>
        <v>-7.5</v>
      </c>
      <c r="U207" s="199">
        <f t="shared" si="165"/>
        <v>0</v>
      </c>
      <c r="V207" s="198">
        <f t="shared" si="166"/>
        <v>0</v>
      </c>
      <c r="W207" s="198">
        <f t="shared" si="167"/>
        <v>0</v>
      </c>
      <c r="X207" s="255">
        <f t="shared" si="153"/>
        <v>5</v>
      </c>
      <c r="Y207" s="255" t="str" cm="1">
        <f t="array" aca="1" ref="Y207" ca="1">IF(D207="","",CELL("address",D207))</f>
        <v>$D$207</v>
      </c>
      <c r="Z207" s="255" t="str" cm="1">
        <f t="array" aca="1" ref="Z207" ca="1">IF(Q207="","",CELL("address",Q207))</f>
        <v>$Q$207</v>
      </c>
      <c r="AA207" s="255" t="str" cm="1">
        <f t="array" aca="1" ref="AA207" ca="1">IF(T207="","",CELL("address",T207))</f>
        <v>$T$207</v>
      </c>
    </row>
    <row r="208" spans="1:88" x14ac:dyDescent="0.2">
      <c r="A208" s="41">
        <v>6</v>
      </c>
      <c r="B208" s="42">
        <f t="shared" si="154"/>
        <v>45931</v>
      </c>
      <c r="C208" s="41">
        <f t="shared" si="155"/>
        <v>6</v>
      </c>
      <c r="D208" s="42">
        <f t="shared" si="156"/>
        <v>45931</v>
      </c>
      <c r="E208" s="33">
        <f t="shared" si="147"/>
        <v>0</v>
      </c>
      <c r="F208" s="34">
        <f t="shared" si="148"/>
        <v>0</v>
      </c>
      <c r="G208" s="34">
        <f t="shared" si="149"/>
        <v>0</v>
      </c>
      <c r="H208" s="35">
        <f t="shared" si="157"/>
        <v>0</v>
      </c>
      <c r="I208" s="35">
        <f t="shared" si="158"/>
        <v>0</v>
      </c>
      <c r="J208" s="35">
        <f t="shared" si="159"/>
        <v>0</v>
      </c>
      <c r="K208" s="35">
        <f t="shared" si="160"/>
        <v>0</v>
      </c>
      <c r="L208" s="36">
        <f t="shared" si="161"/>
        <v>-7.5</v>
      </c>
      <c r="M208" s="36">
        <f t="shared" si="162"/>
        <v>-1.73</v>
      </c>
      <c r="N208" s="37">
        <f t="shared" si="150"/>
        <v>0</v>
      </c>
      <c r="O208" s="37">
        <f t="shared" si="151"/>
        <v>0</v>
      </c>
      <c r="P208" s="37">
        <f t="shared" si="152"/>
        <v>0</v>
      </c>
      <c r="Q208" s="38">
        <f t="shared" si="163"/>
        <v>-9.23</v>
      </c>
      <c r="R208" s="39">
        <f t="shared" si="168"/>
        <v>350</v>
      </c>
      <c r="S208" s="38">
        <f t="shared" si="169"/>
        <v>-8.9192909137812855</v>
      </c>
      <c r="T208" s="197">
        <f t="shared" si="164"/>
        <v>-7.5</v>
      </c>
      <c r="U208" s="199">
        <f t="shared" si="165"/>
        <v>0</v>
      </c>
      <c r="V208" s="198">
        <f t="shared" si="166"/>
        <v>0</v>
      </c>
      <c r="W208" s="198">
        <f t="shared" si="167"/>
        <v>0</v>
      </c>
      <c r="X208" s="255">
        <f t="shared" si="153"/>
        <v>6</v>
      </c>
      <c r="Y208" s="255" t="str" cm="1">
        <f t="array" aca="1" ref="Y208" ca="1">IF(D208="","",CELL("address",D208))</f>
        <v>$D$208</v>
      </c>
      <c r="Z208" s="255" t="str" cm="1">
        <f t="array" aca="1" ref="Z208" ca="1">IF(Q208="","",CELL("address",Q208))</f>
        <v>$Q$208</v>
      </c>
      <c r="AA208" s="255" t="str" cm="1">
        <f t="array" aca="1" ref="AA208" ca="1">IF(T208="","",CELL("address",T208))</f>
        <v>$T$208</v>
      </c>
    </row>
    <row r="209" spans="1:27" x14ac:dyDescent="0.2">
      <c r="A209" s="41">
        <v>7</v>
      </c>
      <c r="B209" s="42">
        <f t="shared" si="154"/>
        <v>45946</v>
      </c>
      <c r="C209" s="41">
        <f t="shared" si="155"/>
        <v>7</v>
      </c>
      <c r="D209" s="42">
        <f t="shared" si="156"/>
        <v>45946</v>
      </c>
      <c r="E209" s="33">
        <f t="shared" si="147"/>
        <v>0</v>
      </c>
      <c r="F209" s="34">
        <f t="shared" si="148"/>
        <v>0</v>
      </c>
      <c r="G209" s="34">
        <f t="shared" si="149"/>
        <v>0</v>
      </c>
      <c r="H209" s="35">
        <f t="shared" si="157"/>
        <v>62.5</v>
      </c>
      <c r="I209" s="35">
        <f t="shared" si="158"/>
        <v>-17.5</v>
      </c>
      <c r="J209" s="35">
        <f t="shared" si="159"/>
        <v>-5</v>
      </c>
      <c r="K209" s="35">
        <f t="shared" si="160"/>
        <v>-1.1499999999999999</v>
      </c>
      <c r="L209" s="36">
        <f t="shared" si="161"/>
        <v>0</v>
      </c>
      <c r="M209" s="36">
        <f t="shared" si="162"/>
        <v>0</v>
      </c>
      <c r="N209" s="37">
        <f t="shared" si="150"/>
        <v>0</v>
      </c>
      <c r="O209" s="37">
        <f t="shared" si="151"/>
        <v>0</v>
      </c>
      <c r="P209" s="37">
        <f t="shared" si="152"/>
        <v>0</v>
      </c>
      <c r="Q209" s="38">
        <f t="shared" si="163"/>
        <v>38.85</v>
      </c>
      <c r="R209" s="39">
        <f t="shared" si="168"/>
        <v>365</v>
      </c>
      <c r="S209" s="38">
        <f t="shared" si="169"/>
        <v>37.487139886523181</v>
      </c>
      <c r="T209" s="197">
        <f t="shared" si="164"/>
        <v>57.5</v>
      </c>
      <c r="U209" s="199">
        <f t="shared" si="165"/>
        <v>0</v>
      </c>
      <c r="V209" s="198">
        <f t="shared" si="166"/>
        <v>0</v>
      </c>
      <c r="W209" s="198">
        <f t="shared" si="167"/>
        <v>0</v>
      </c>
      <c r="X209" s="255">
        <f t="shared" si="153"/>
        <v>7</v>
      </c>
      <c r="Y209" s="255" t="str" cm="1">
        <f t="array" aca="1" ref="Y209" ca="1">IF(D209="","",CELL("address",D209))</f>
        <v>$D$209</v>
      </c>
      <c r="Z209" s="255" t="str" cm="1">
        <f t="array" aca="1" ref="Z209" ca="1">IF(Q209="","",CELL("address",Q209))</f>
        <v>$Q$209</v>
      </c>
      <c r="AA209" s="255" t="str" cm="1">
        <f t="array" aca="1" ref="AA209" ca="1">IF(T209="","",CELL("address",T209))</f>
        <v>$T$209</v>
      </c>
    </row>
    <row r="210" spans="1:27" x14ac:dyDescent="0.2">
      <c r="A210" s="41">
        <v>8</v>
      </c>
      <c r="B210" s="42">
        <f t="shared" si="154"/>
        <v>46023</v>
      </c>
      <c r="C210" s="41">
        <f t="shared" si="155"/>
        <v>8</v>
      </c>
      <c r="D210" s="42">
        <f t="shared" si="156"/>
        <v>46023</v>
      </c>
      <c r="E210" s="33">
        <f t="shared" si="147"/>
        <v>0</v>
      </c>
      <c r="F210" s="34">
        <f t="shared" si="148"/>
        <v>0</v>
      </c>
      <c r="G210" s="34">
        <f t="shared" si="149"/>
        <v>0</v>
      </c>
      <c r="H210" s="35">
        <f t="shared" si="157"/>
        <v>0</v>
      </c>
      <c r="I210" s="35">
        <f t="shared" si="158"/>
        <v>0</v>
      </c>
      <c r="J210" s="35">
        <f t="shared" si="159"/>
        <v>0</v>
      </c>
      <c r="K210" s="35">
        <f t="shared" si="160"/>
        <v>0</v>
      </c>
      <c r="L210" s="36">
        <f t="shared" si="161"/>
        <v>-7.5</v>
      </c>
      <c r="M210" s="36">
        <f t="shared" si="162"/>
        <v>-1.73</v>
      </c>
      <c r="N210" s="37">
        <f t="shared" si="150"/>
        <v>0</v>
      </c>
      <c r="O210" s="37">
        <f t="shared" si="151"/>
        <v>0</v>
      </c>
      <c r="P210" s="37">
        <f t="shared" si="152"/>
        <v>0</v>
      </c>
      <c r="Q210" s="38">
        <f t="shared" si="163"/>
        <v>-9.23</v>
      </c>
      <c r="R210" s="39">
        <f t="shared" si="168"/>
        <v>442</v>
      </c>
      <c r="S210" s="38">
        <f t="shared" si="169"/>
        <v>-8.8393693862702918</v>
      </c>
      <c r="T210" s="197">
        <f t="shared" si="164"/>
        <v>-7.5</v>
      </c>
      <c r="U210" s="199">
        <f t="shared" si="165"/>
        <v>0</v>
      </c>
      <c r="V210" s="198">
        <f t="shared" si="166"/>
        <v>0</v>
      </c>
      <c r="W210" s="198">
        <f t="shared" si="167"/>
        <v>0</v>
      </c>
      <c r="X210" s="255">
        <f t="shared" si="153"/>
        <v>8</v>
      </c>
      <c r="Y210" s="255" t="str" cm="1">
        <f t="array" aca="1" ref="Y210" ca="1">IF(D210="","",CELL("address",D210))</f>
        <v>$D$210</v>
      </c>
      <c r="Z210" s="255" t="str" cm="1">
        <f t="array" aca="1" ref="Z210" ca="1">IF(Q210="","",CELL("address",Q210))</f>
        <v>$Q$210</v>
      </c>
      <c r="AA210" s="255" t="str" cm="1">
        <f t="array" aca="1" ref="AA210" ca="1">IF(T210="","",CELL("address",T210))</f>
        <v>$T$210</v>
      </c>
    </row>
    <row r="211" spans="1:27" x14ac:dyDescent="0.2">
      <c r="A211" s="41">
        <v>9</v>
      </c>
      <c r="B211" s="42">
        <f t="shared" si="154"/>
        <v>46113</v>
      </c>
      <c r="C211" s="41">
        <f t="shared" si="155"/>
        <v>9</v>
      </c>
      <c r="D211" s="42">
        <f t="shared" si="156"/>
        <v>46113</v>
      </c>
      <c r="E211" s="33">
        <f t="shared" si="147"/>
        <v>0</v>
      </c>
      <c r="F211" s="34">
        <f t="shared" si="148"/>
        <v>0</v>
      </c>
      <c r="G211" s="34">
        <f t="shared" si="149"/>
        <v>0</v>
      </c>
      <c r="H211" s="35">
        <f t="shared" si="157"/>
        <v>0</v>
      </c>
      <c r="I211" s="35">
        <f t="shared" si="158"/>
        <v>0</v>
      </c>
      <c r="J211" s="35">
        <f t="shared" si="159"/>
        <v>0</v>
      </c>
      <c r="K211" s="35">
        <f t="shared" si="160"/>
        <v>0</v>
      </c>
      <c r="L211" s="36">
        <f t="shared" si="161"/>
        <v>-7.5</v>
      </c>
      <c r="M211" s="36">
        <f t="shared" si="162"/>
        <v>-1.73</v>
      </c>
      <c r="N211" s="37">
        <f t="shared" si="150"/>
        <v>0</v>
      </c>
      <c r="O211" s="37">
        <f t="shared" si="151"/>
        <v>0</v>
      </c>
      <c r="P211" s="37">
        <f t="shared" si="152"/>
        <v>0</v>
      </c>
      <c r="Q211" s="38">
        <f t="shared" si="163"/>
        <v>-9.23</v>
      </c>
      <c r="R211" s="39">
        <f t="shared" si="168"/>
        <v>532</v>
      </c>
      <c r="S211" s="38">
        <f t="shared" si="169"/>
        <v>-8.7618782840651335</v>
      </c>
      <c r="T211" s="197">
        <f t="shared" si="164"/>
        <v>-7.5</v>
      </c>
      <c r="U211" s="199">
        <f t="shared" si="165"/>
        <v>0</v>
      </c>
      <c r="V211" s="198">
        <f t="shared" si="166"/>
        <v>0</v>
      </c>
      <c r="W211" s="198">
        <f t="shared" si="167"/>
        <v>0</v>
      </c>
      <c r="X211" s="255">
        <f t="shared" ref="X211:X246" si="170">IF(T211="","",C211)</f>
        <v>9</v>
      </c>
      <c r="Y211" s="255" t="str" cm="1">
        <f t="array" aca="1" ref="Y211" ca="1">IF(D211="","",CELL("address",D211))</f>
        <v>$D$211</v>
      </c>
      <c r="Z211" s="255" t="str" cm="1">
        <f t="array" aca="1" ref="Z211" ca="1">IF(Q211="","",CELL("address",Q211))</f>
        <v>$Q$211</v>
      </c>
      <c r="AA211" s="255" t="str" cm="1">
        <f t="array" aca="1" ref="AA211" ca="1">IF(T211="","",CELL("address",T211))</f>
        <v>$T$211</v>
      </c>
    </row>
    <row r="212" spans="1:27" x14ac:dyDescent="0.2">
      <c r="A212" s="41">
        <v>10</v>
      </c>
      <c r="B212" s="42">
        <f t="shared" si="154"/>
        <v>46128</v>
      </c>
      <c r="C212" s="41">
        <f t="shared" si="155"/>
        <v>10</v>
      </c>
      <c r="D212" s="42">
        <f t="shared" si="156"/>
        <v>46128</v>
      </c>
      <c r="E212" s="33">
        <f t="shared" si="147"/>
        <v>0</v>
      </c>
      <c r="F212" s="34">
        <f t="shared" si="148"/>
        <v>0</v>
      </c>
      <c r="G212" s="34">
        <f t="shared" si="149"/>
        <v>0</v>
      </c>
      <c r="H212" s="35">
        <f t="shared" si="157"/>
        <v>62.5</v>
      </c>
      <c r="I212" s="35">
        <f t="shared" si="158"/>
        <v>-17.5</v>
      </c>
      <c r="J212" s="35">
        <f t="shared" si="159"/>
        <v>-5</v>
      </c>
      <c r="K212" s="35">
        <f t="shared" si="160"/>
        <v>-1.1499999999999999</v>
      </c>
      <c r="L212" s="36">
        <f t="shared" si="161"/>
        <v>0</v>
      </c>
      <c r="M212" s="36">
        <f t="shared" si="162"/>
        <v>0</v>
      </c>
      <c r="N212" s="37">
        <f t="shared" si="150"/>
        <v>0</v>
      </c>
      <c r="O212" s="37">
        <f t="shared" si="151"/>
        <v>0</v>
      </c>
      <c r="P212" s="37">
        <f t="shared" si="152"/>
        <v>0</v>
      </c>
      <c r="Q212" s="38">
        <f t="shared" si="163"/>
        <v>38.85</v>
      </c>
      <c r="R212" s="39">
        <f t="shared" si="168"/>
        <v>547</v>
      </c>
      <c r="S212" s="38">
        <f t="shared" si="169"/>
        <v>36.825545895799401</v>
      </c>
      <c r="T212" s="197">
        <f t="shared" si="164"/>
        <v>57.5</v>
      </c>
      <c r="U212" s="199">
        <f t="shared" si="165"/>
        <v>0</v>
      </c>
      <c r="V212" s="198">
        <f t="shared" si="166"/>
        <v>0</v>
      </c>
      <c r="W212" s="198">
        <f t="shared" si="167"/>
        <v>0</v>
      </c>
      <c r="X212" s="255">
        <f t="shared" si="170"/>
        <v>10</v>
      </c>
      <c r="Y212" s="255" t="str" cm="1">
        <f t="array" aca="1" ref="Y212" ca="1">IF(D212="","",CELL("address",D212))</f>
        <v>$D$212</v>
      </c>
      <c r="Z212" s="255" t="str" cm="1">
        <f t="array" aca="1" ref="Z212" ca="1">IF(Q212="","",CELL("address",Q212))</f>
        <v>$Q$212</v>
      </c>
      <c r="AA212" s="255" t="str" cm="1">
        <f t="array" aca="1" ref="AA212" ca="1">IF(T212="","",CELL("address",T212))</f>
        <v>$T$212</v>
      </c>
    </row>
    <row r="213" spans="1:27" x14ac:dyDescent="0.2">
      <c r="A213" s="41">
        <v>11</v>
      </c>
      <c r="B213" s="42">
        <f t="shared" si="154"/>
        <v>46204</v>
      </c>
      <c r="C213" s="41">
        <f t="shared" si="155"/>
        <v>11</v>
      </c>
      <c r="D213" s="42">
        <f t="shared" si="156"/>
        <v>46204</v>
      </c>
      <c r="E213" s="33">
        <f t="shared" si="147"/>
        <v>0</v>
      </c>
      <c r="F213" s="34">
        <f t="shared" si="148"/>
        <v>0</v>
      </c>
      <c r="G213" s="34">
        <f t="shared" si="149"/>
        <v>0</v>
      </c>
      <c r="H213" s="35">
        <f t="shared" si="157"/>
        <v>0</v>
      </c>
      <c r="I213" s="35">
        <f t="shared" si="158"/>
        <v>0</v>
      </c>
      <c r="J213" s="35">
        <f t="shared" si="159"/>
        <v>0</v>
      </c>
      <c r="K213" s="35">
        <f t="shared" si="160"/>
        <v>0</v>
      </c>
      <c r="L213" s="36">
        <f t="shared" si="161"/>
        <v>-7.5</v>
      </c>
      <c r="M213" s="36">
        <f t="shared" si="162"/>
        <v>-1.73</v>
      </c>
      <c r="N213" s="37">
        <f t="shared" si="150"/>
        <v>0</v>
      </c>
      <c r="O213" s="37">
        <f t="shared" si="151"/>
        <v>0</v>
      </c>
      <c r="P213" s="37">
        <f t="shared" si="152"/>
        <v>0</v>
      </c>
      <c r="Q213" s="38">
        <f t="shared" si="163"/>
        <v>-9.23</v>
      </c>
      <c r="R213" s="39">
        <f t="shared" si="168"/>
        <v>623</v>
      </c>
      <c r="S213" s="38">
        <f t="shared" si="169"/>
        <v>-8.684216843782794</v>
      </c>
      <c r="T213" s="197">
        <f t="shared" si="164"/>
        <v>-7.5</v>
      </c>
      <c r="U213" s="199">
        <f t="shared" si="165"/>
        <v>0</v>
      </c>
      <c r="V213" s="198">
        <f t="shared" si="166"/>
        <v>0</v>
      </c>
      <c r="W213" s="198">
        <f t="shared" si="167"/>
        <v>0</v>
      </c>
      <c r="X213" s="255">
        <f t="shared" si="170"/>
        <v>11</v>
      </c>
      <c r="Y213" s="255" t="str" cm="1">
        <f t="array" aca="1" ref="Y213" ca="1">IF(D213="","",CELL("address",D213))</f>
        <v>$D$213</v>
      </c>
      <c r="Z213" s="255" t="str" cm="1">
        <f t="array" aca="1" ref="Z213" ca="1">IF(Q213="","",CELL("address",Q213))</f>
        <v>$Q$213</v>
      </c>
      <c r="AA213" s="255" t="str" cm="1">
        <f t="array" aca="1" ref="AA213" ca="1">IF(T213="","",CELL("address",T213))</f>
        <v>$T$213</v>
      </c>
    </row>
    <row r="214" spans="1:27" x14ac:dyDescent="0.2">
      <c r="A214" s="41">
        <v>12</v>
      </c>
      <c r="B214" s="42">
        <f t="shared" si="154"/>
        <v>46296</v>
      </c>
      <c r="C214" s="41">
        <f t="shared" si="155"/>
        <v>12</v>
      </c>
      <c r="D214" s="42">
        <f t="shared" si="156"/>
        <v>46296</v>
      </c>
      <c r="E214" s="33">
        <f t="shared" si="147"/>
        <v>0</v>
      </c>
      <c r="F214" s="34">
        <f t="shared" si="148"/>
        <v>0</v>
      </c>
      <c r="G214" s="34">
        <f t="shared" si="149"/>
        <v>0</v>
      </c>
      <c r="H214" s="35">
        <f t="shared" si="157"/>
        <v>0</v>
      </c>
      <c r="I214" s="35">
        <f t="shared" si="158"/>
        <v>0</v>
      </c>
      <c r="J214" s="35">
        <f t="shared" si="159"/>
        <v>0</v>
      </c>
      <c r="K214" s="35">
        <f t="shared" si="160"/>
        <v>0</v>
      </c>
      <c r="L214" s="36">
        <f t="shared" si="161"/>
        <v>-7.5</v>
      </c>
      <c r="M214" s="36">
        <f t="shared" si="162"/>
        <v>-1.73</v>
      </c>
      <c r="N214" s="37">
        <f t="shared" si="150"/>
        <v>0</v>
      </c>
      <c r="O214" s="37">
        <f t="shared" si="151"/>
        <v>0</v>
      </c>
      <c r="P214" s="37">
        <f t="shared" si="152"/>
        <v>0</v>
      </c>
      <c r="Q214" s="38">
        <f t="shared" si="163"/>
        <v>-9.23</v>
      </c>
      <c r="R214" s="39">
        <f t="shared" si="168"/>
        <v>715</v>
      </c>
      <c r="S214" s="38">
        <f t="shared" si="169"/>
        <v>-8.6064017033079576</v>
      </c>
      <c r="T214" s="197">
        <f t="shared" si="164"/>
        <v>-7.5</v>
      </c>
      <c r="U214" s="199">
        <f t="shared" si="165"/>
        <v>0</v>
      </c>
      <c r="V214" s="198">
        <f t="shared" si="166"/>
        <v>0</v>
      </c>
      <c r="W214" s="198">
        <f t="shared" si="167"/>
        <v>0</v>
      </c>
      <c r="X214" s="255">
        <f t="shared" si="170"/>
        <v>12</v>
      </c>
      <c r="Y214" s="255" t="str" cm="1">
        <f t="array" aca="1" ref="Y214" ca="1">IF(D214="","",CELL("address",D214))</f>
        <v>$D$214</v>
      </c>
      <c r="Z214" s="255" t="str" cm="1">
        <f t="array" aca="1" ref="Z214" ca="1">IF(Q214="","",CELL("address",Q214))</f>
        <v>$Q$214</v>
      </c>
      <c r="AA214" s="255" t="str" cm="1">
        <f t="array" aca="1" ref="AA214" ca="1">IF(T214="","",CELL("address",T214))</f>
        <v>$T$214</v>
      </c>
    </row>
    <row r="215" spans="1:27" x14ac:dyDescent="0.2">
      <c r="A215" s="41">
        <v>13</v>
      </c>
      <c r="B215" s="42">
        <f t="shared" si="154"/>
        <v>46311</v>
      </c>
      <c r="C215" s="41">
        <f t="shared" si="155"/>
        <v>13</v>
      </c>
      <c r="D215" s="42">
        <f t="shared" si="156"/>
        <v>46311</v>
      </c>
      <c r="E215" s="33">
        <f t="shared" si="147"/>
        <v>0</v>
      </c>
      <c r="F215" s="34">
        <f t="shared" si="148"/>
        <v>0</v>
      </c>
      <c r="G215" s="34">
        <f t="shared" si="149"/>
        <v>0</v>
      </c>
      <c r="H215" s="35">
        <f t="shared" si="157"/>
        <v>62.5</v>
      </c>
      <c r="I215" s="35">
        <f t="shared" si="158"/>
        <v>-17.5</v>
      </c>
      <c r="J215" s="35">
        <f t="shared" si="159"/>
        <v>-5</v>
      </c>
      <c r="K215" s="35">
        <f t="shared" si="160"/>
        <v>-1.1499999999999999</v>
      </c>
      <c r="L215" s="36">
        <f t="shared" si="161"/>
        <v>0</v>
      </c>
      <c r="M215" s="36">
        <f t="shared" si="162"/>
        <v>0</v>
      </c>
      <c r="N215" s="37">
        <f t="shared" si="150"/>
        <v>0</v>
      </c>
      <c r="O215" s="37">
        <f t="shared" si="151"/>
        <v>0</v>
      </c>
      <c r="P215" s="37">
        <f t="shared" si="152"/>
        <v>0</v>
      </c>
      <c r="Q215" s="38">
        <f t="shared" si="163"/>
        <v>38.85</v>
      </c>
      <c r="R215" s="39">
        <f t="shared" si="168"/>
        <v>730</v>
      </c>
      <c r="S215" s="38">
        <f t="shared" si="169"/>
        <v>36.172088979968002</v>
      </c>
      <c r="T215" s="197">
        <f t="shared" si="164"/>
        <v>57.5</v>
      </c>
      <c r="U215" s="199">
        <f t="shared" si="165"/>
        <v>0</v>
      </c>
      <c r="V215" s="198">
        <f t="shared" si="166"/>
        <v>0</v>
      </c>
      <c r="W215" s="198">
        <f t="shared" si="167"/>
        <v>0</v>
      </c>
      <c r="X215" s="255">
        <f t="shared" si="170"/>
        <v>13</v>
      </c>
      <c r="Y215" s="255" t="str" cm="1">
        <f t="array" aca="1" ref="Y215" ca="1">IF(D215="","",CELL("address",D215))</f>
        <v>$D$215</v>
      </c>
      <c r="Z215" s="255" t="str" cm="1">
        <f t="array" aca="1" ref="Z215" ca="1">IF(Q215="","",CELL("address",Q215))</f>
        <v>$Q$215</v>
      </c>
      <c r="AA215" s="255" t="str" cm="1">
        <f t="array" aca="1" ref="AA215" ca="1">IF(T215="","",CELL("address",T215))</f>
        <v>$T$215</v>
      </c>
    </row>
    <row r="216" spans="1:27" x14ac:dyDescent="0.2">
      <c r="A216" s="41">
        <v>14</v>
      </c>
      <c r="B216" s="42">
        <f t="shared" si="154"/>
        <v>46388</v>
      </c>
      <c r="C216" s="41">
        <f t="shared" si="155"/>
        <v>14</v>
      </c>
      <c r="D216" s="42">
        <f t="shared" si="156"/>
        <v>46388</v>
      </c>
      <c r="E216" s="33">
        <f t="shared" si="147"/>
        <v>0</v>
      </c>
      <c r="F216" s="34">
        <f t="shared" si="148"/>
        <v>0</v>
      </c>
      <c r="G216" s="34">
        <f t="shared" si="149"/>
        <v>0</v>
      </c>
      <c r="H216" s="35">
        <f t="shared" si="157"/>
        <v>0</v>
      </c>
      <c r="I216" s="35">
        <f t="shared" si="158"/>
        <v>0</v>
      </c>
      <c r="J216" s="35">
        <f t="shared" si="159"/>
        <v>0</v>
      </c>
      <c r="K216" s="35">
        <f t="shared" si="160"/>
        <v>0</v>
      </c>
      <c r="L216" s="36">
        <f t="shared" si="161"/>
        <v>-7.5</v>
      </c>
      <c r="M216" s="36">
        <f t="shared" si="162"/>
        <v>-1.73</v>
      </c>
      <c r="N216" s="37">
        <f t="shared" si="150"/>
        <v>0</v>
      </c>
      <c r="O216" s="37">
        <f t="shared" si="151"/>
        <v>0</v>
      </c>
      <c r="P216" s="37">
        <f t="shared" si="152"/>
        <v>0</v>
      </c>
      <c r="Q216" s="38">
        <f t="shared" si="163"/>
        <v>-9.23</v>
      </c>
      <c r="R216" s="39">
        <f t="shared" si="168"/>
        <v>807</v>
      </c>
      <c r="S216" s="38">
        <f t="shared" si="169"/>
        <v>-8.5292838273298557</v>
      </c>
      <c r="T216" s="197">
        <f t="shared" si="164"/>
        <v>-7.5</v>
      </c>
      <c r="U216" s="199">
        <f t="shared" si="165"/>
        <v>0</v>
      </c>
      <c r="V216" s="198">
        <f t="shared" si="166"/>
        <v>0</v>
      </c>
      <c r="W216" s="198">
        <f t="shared" si="167"/>
        <v>0</v>
      </c>
      <c r="X216" s="255">
        <f t="shared" si="170"/>
        <v>14</v>
      </c>
      <c r="Y216" s="255" t="str" cm="1">
        <f t="array" aca="1" ref="Y216" ca="1">IF(D216="","",CELL("address",D216))</f>
        <v>$D$216</v>
      </c>
      <c r="Z216" s="255" t="str" cm="1">
        <f t="array" aca="1" ref="Z216" ca="1">IF(Q216="","",CELL("address",Q216))</f>
        <v>$Q$216</v>
      </c>
      <c r="AA216" s="255" t="str" cm="1">
        <f t="array" aca="1" ref="AA216" ca="1">IF(T216="","",CELL("address",T216))</f>
        <v>$T$216</v>
      </c>
    </row>
    <row r="217" spans="1:27" x14ac:dyDescent="0.2">
      <c r="A217" s="41">
        <v>15</v>
      </c>
      <c r="B217" s="42">
        <f t="shared" si="154"/>
        <v>46478</v>
      </c>
      <c r="C217" s="41">
        <f t="shared" si="155"/>
        <v>15</v>
      </c>
      <c r="D217" s="42">
        <f t="shared" si="156"/>
        <v>46478</v>
      </c>
      <c r="E217" s="33">
        <f t="shared" si="147"/>
        <v>0</v>
      </c>
      <c r="F217" s="34">
        <f t="shared" si="148"/>
        <v>0</v>
      </c>
      <c r="G217" s="34">
        <f t="shared" si="149"/>
        <v>0</v>
      </c>
      <c r="H217" s="35">
        <f t="shared" si="157"/>
        <v>0</v>
      </c>
      <c r="I217" s="35">
        <f t="shared" si="158"/>
        <v>0</v>
      </c>
      <c r="J217" s="35">
        <f t="shared" si="159"/>
        <v>0</v>
      </c>
      <c r="K217" s="35">
        <f t="shared" si="160"/>
        <v>0</v>
      </c>
      <c r="L217" s="36">
        <f t="shared" si="161"/>
        <v>-7.5</v>
      </c>
      <c r="M217" s="36">
        <f t="shared" si="162"/>
        <v>-1.73</v>
      </c>
      <c r="N217" s="37">
        <f t="shared" si="150"/>
        <v>0</v>
      </c>
      <c r="O217" s="37">
        <f t="shared" si="151"/>
        <v>0</v>
      </c>
      <c r="P217" s="37">
        <f t="shared" si="152"/>
        <v>0</v>
      </c>
      <c r="Q217" s="38">
        <f t="shared" si="163"/>
        <v>-9.23</v>
      </c>
      <c r="R217" s="39">
        <f t="shared" si="168"/>
        <v>897</v>
      </c>
      <c r="S217" s="38">
        <f t="shared" si="169"/>
        <v>-8.4545111172056444</v>
      </c>
      <c r="T217" s="197">
        <f t="shared" si="164"/>
        <v>-7.5</v>
      </c>
      <c r="U217" s="199">
        <f t="shared" si="165"/>
        <v>0</v>
      </c>
      <c r="V217" s="198">
        <f t="shared" si="166"/>
        <v>0</v>
      </c>
      <c r="W217" s="198">
        <f t="shared" si="167"/>
        <v>0</v>
      </c>
      <c r="X217" s="255">
        <f t="shared" si="170"/>
        <v>15</v>
      </c>
      <c r="Y217" s="255" t="str" cm="1">
        <f t="array" aca="1" ref="Y217" ca="1">IF(D217="","",CELL("address",D217))</f>
        <v>$D$217</v>
      </c>
      <c r="Z217" s="255" t="str" cm="1">
        <f t="array" aca="1" ref="Z217" ca="1">IF(Q217="","",CELL("address",Q217))</f>
        <v>$Q$217</v>
      </c>
      <c r="AA217" s="255" t="str" cm="1">
        <f t="array" aca="1" ref="AA217" ca="1">IF(T217="","",CELL("address",T217))</f>
        <v>$T$217</v>
      </c>
    </row>
    <row r="218" spans="1:27" x14ac:dyDescent="0.2">
      <c r="A218" s="41">
        <v>16</v>
      </c>
      <c r="B218" s="42">
        <f t="shared" si="154"/>
        <v>46493</v>
      </c>
      <c r="C218" s="41">
        <f t="shared" si="155"/>
        <v>16</v>
      </c>
      <c r="D218" s="42">
        <f t="shared" si="156"/>
        <v>46493</v>
      </c>
      <c r="E218" s="33">
        <f t="shared" si="147"/>
        <v>0</v>
      </c>
      <c r="F218" s="34">
        <f t="shared" si="148"/>
        <v>0</v>
      </c>
      <c r="G218" s="34">
        <f t="shared" si="149"/>
        <v>0</v>
      </c>
      <c r="H218" s="35">
        <f t="shared" si="157"/>
        <v>62.5</v>
      </c>
      <c r="I218" s="35">
        <f t="shared" si="158"/>
        <v>-17.5</v>
      </c>
      <c r="J218" s="35">
        <f t="shared" si="159"/>
        <v>-5</v>
      </c>
      <c r="K218" s="35">
        <f t="shared" si="160"/>
        <v>-1.1499999999999999</v>
      </c>
      <c r="L218" s="36">
        <f t="shared" si="161"/>
        <v>0</v>
      </c>
      <c r="M218" s="36">
        <f t="shared" si="162"/>
        <v>0</v>
      </c>
      <c r="N218" s="37">
        <f t="shared" si="150"/>
        <v>0</v>
      </c>
      <c r="O218" s="37">
        <f t="shared" si="151"/>
        <v>0</v>
      </c>
      <c r="P218" s="37">
        <f t="shared" si="152"/>
        <v>0</v>
      </c>
      <c r="Q218" s="38">
        <f t="shared" si="163"/>
        <v>38.85</v>
      </c>
      <c r="R218" s="39">
        <f t="shared" si="168"/>
        <v>912</v>
      </c>
      <c r="S218" s="38">
        <f t="shared" si="169"/>
        <v>35.533703742430163</v>
      </c>
      <c r="T218" s="197">
        <f t="shared" si="164"/>
        <v>57.5</v>
      </c>
      <c r="U218" s="199">
        <f t="shared" si="165"/>
        <v>0</v>
      </c>
      <c r="V218" s="198">
        <f t="shared" si="166"/>
        <v>0</v>
      </c>
      <c r="W218" s="198">
        <f t="shared" si="167"/>
        <v>0</v>
      </c>
      <c r="X218" s="255">
        <f t="shared" si="170"/>
        <v>16</v>
      </c>
      <c r="Y218" s="255" t="str" cm="1">
        <f t="array" aca="1" ref="Y218" ca="1">IF(D218="","",CELL("address",D218))</f>
        <v>$D$218</v>
      </c>
      <c r="Z218" s="255" t="str" cm="1">
        <f t="array" aca="1" ref="Z218" ca="1">IF(Q218="","",CELL("address",Q218))</f>
        <v>$Q$218</v>
      </c>
      <c r="AA218" s="255" t="str" cm="1">
        <f t="array" aca="1" ref="AA218" ca="1">IF(T218="","",CELL("address",T218))</f>
        <v>$T$218</v>
      </c>
    </row>
    <row r="219" spans="1:27" x14ac:dyDescent="0.2">
      <c r="A219" s="41">
        <v>17</v>
      </c>
      <c r="B219" s="42">
        <f t="shared" si="154"/>
        <v>46569</v>
      </c>
      <c r="C219" s="41">
        <f t="shared" si="155"/>
        <v>17</v>
      </c>
      <c r="D219" s="42">
        <f t="shared" si="156"/>
        <v>46569</v>
      </c>
      <c r="E219" s="33">
        <f t="shared" si="147"/>
        <v>0</v>
      </c>
      <c r="F219" s="34">
        <f t="shared" si="148"/>
        <v>0</v>
      </c>
      <c r="G219" s="34">
        <f t="shared" si="149"/>
        <v>0</v>
      </c>
      <c r="H219" s="35">
        <f t="shared" si="157"/>
        <v>0</v>
      </c>
      <c r="I219" s="35">
        <f t="shared" si="158"/>
        <v>0</v>
      </c>
      <c r="J219" s="35">
        <f t="shared" si="159"/>
        <v>0</v>
      </c>
      <c r="K219" s="35">
        <f t="shared" si="160"/>
        <v>0</v>
      </c>
      <c r="L219" s="36">
        <f t="shared" si="161"/>
        <v>-7.5</v>
      </c>
      <c r="M219" s="36">
        <f t="shared" si="162"/>
        <v>-1.73</v>
      </c>
      <c r="N219" s="37">
        <f t="shared" si="150"/>
        <v>0</v>
      </c>
      <c r="O219" s="37">
        <f t="shared" si="151"/>
        <v>0</v>
      </c>
      <c r="P219" s="37">
        <f t="shared" si="152"/>
        <v>0</v>
      </c>
      <c r="Q219" s="38">
        <f t="shared" si="163"/>
        <v>-9.23</v>
      </c>
      <c r="R219" s="39">
        <f t="shared" si="168"/>
        <v>988</v>
      </c>
      <c r="S219" s="38">
        <f t="shared" si="169"/>
        <v>-8.3795740444732658</v>
      </c>
      <c r="T219" s="197">
        <f t="shared" si="164"/>
        <v>-7.5</v>
      </c>
      <c r="U219" s="199">
        <f t="shared" si="165"/>
        <v>0</v>
      </c>
      <c r="V219" s="198">
        <f t="shared" si="166"/>
        <v>0</v>
      </c>
      <c r="W219" s="198">
        <f t="shared" si="167"/>
        <v>0</v>
      </c>
      <c r="X219" s="255">
        <f t="shared" si="170"/>
        <v>17</v>
      </c>
      <c r="Y219" s="255" t="str" cm="1">
        <f t="array" aca="1" ref="Y219" ca="1">IF(D219="","",CELL("address",D219))</f>
        <v>$D$219</v>
      </c>
      <c r="Z219" s="255" t="str" cm="1">
        <f t="array" aca="1" ref="Z219" ca="1">IF(Q219="","",CELL("address",Q219))</f>
        <v>$Q$219</v>
      </c>
      <c r="AA219" s="255" t="str" cm="1">
        <f t="array" aca="1" ref="AA219" ca="1">IF(T219="","",CELL("address",T219))</f>
        <v>$T$219</v>
      </c>
    </row>
    <row r="220" spans="1:27" x14ac:dyDescent="0.2">
      <c r="A220" s="41">
        <v>18</v>
      </c>
      <c r="B220" s="42">
        <f t="shared" si="154"/>
        <v>46661</v>
      </c>
      <c r="C220" s="41">
        <f t="shared" si="155"/>
        <v>18</v>
      </c>
      <c r="D220" s="42">
        <f t="shared" si="156"/>
        <v>46661</v>
      </c>
      <c r="E220" s="33">
        <f t="shared" si="147"/>
        <v>0</v>
      </c>
      <c r="F220" s="34">
        <f t="shared" si="148"/>
        <v>0</v>
      </c>
      <c r="G220" s="34">
        <f t="shared" si="149"/>
        <v>0</v>
      </c>
      <c r="H220" s="35">
        <f t="shared" si="157"/>
        <v>0</v>
      </c>
      <c r="I220" s="35">
        <f t="shared" si="158"/>
        <v>0</v>
      </c>
      <c r="J220" s="35">
        <f t="shared" si="159"/>
        <v>0</v>
      </c>
      <c r="K220" s="35">
        <f t="shared" si="160"/>
        <v>0</v>
      </c>
      <c r="L220" s="36">
        <f t="shared" si="161"/>
        <v>-7.5</v>
      </c>
      <c r="M220" s="36">
        <f t="shared" si="162"/>
        <v>-1.73</v>
      </c>
      <c r="N220" s="37">
        <f t="shared" si="150"/>
        <v>0</v>
      </c>
      <c r="O220" s="37">
        <f t="shared" si="151"/>
        <v>0</v>
      </c>
      <c r="P220" s="37">
        <f t="shared" si="152"/>
        <v>0</v>
      </c>
      <c r="Q220" s="38">
        <f t="shared" si="163"/>
        <v>-9.23</v>
      </c>
      <c r="R220" s="39">
        <f t="shared" si="168"/>
        <v>1080</v>
      </c>
      <c r="S220" s="38">
        <f>IF(Q220="","",Q220/(1+$S$248)^(R220/360))</f>
        <v>-8.3044886633595034</v>
      </c>
      <c r="T220" s="197">
        <f t="shared" si="164"/>
        <v>-7.5</v>
      </c>
      <c r="U220" s="199">
        <f t="shared" si="165"/>
        <v>0</v>
      </c>
      <c r="V220" s="198">
        <f t="shared" si="166"/>
        <v>0</v>
      </c>
      <c r="W220" s="198">
        <f t="shared" si="167"/>
        <v>0</v>
      </c>
      <c r="X220" s="255">
        <f t="shared" si="170"/>
        <v>18</v>
      </c>
      <c r="Y220" s="255" t="str" cm="1">
        <f t="array" aca="1" ref="Y220" ca="1">IF(D220="","",CELL("address",D220))</f>
        <v>$D$220</v>
      </c>
      <c r="Z220" s="255" t="str" cm="1">
        <f t="array" aca="1" ref="Z220" ca="1">IF(Q220="","",CELL("address",Q220))</f>
        <v>$Q$220</v>
      </c>
      <c r="AA220" s="255" t="str" cm="1">
        <f t="array" aca="1" ref="AA220" ca="1">IF(T220="","",CELL("address",T220))</f>
        <v>$T$220</v>
      </c>
    </row>
    <row r="221" spans="1:27" x14ac:dyDescent="0.2">
      <c r="A221" s="41">
        <v>19</v>
      </c>
      <c r="B221" s="42">
        <f t="shared" si="154"/>
        <v>46676</v>
      </c>
      <c r="C221" s="41">
        <f t="shared" si="155"/>
        <v>19</v>
      </c>
      <c r="D221" s="42">
        <f t="shared" si="156"/>
        <v>46676</v>
      </c>
      <c r="E221" s="33">
        <f t="shared" si="147"/>
        <v>0</v>
      </c>
      <c r="F221" s="34">
        <f t="shared" si="148"/>
        <v>0</v>
      </c>
      <c r="G221" s="34">
        <f t="shared" si="149"/>
        <v>0</v>
      </c>
      <c r="H221" s="35">
        <f t="shared" si="157"/>
        <v>62.5</v>
      </c>
      <c r="I221" s="35">
        <f t="shared" si="158"/>
        <v>-17.5</v>
      </c>
      <c r="J221" s="35">
        <f t="shared" si="159"/>
        <v>-5</v>
      </c>
      <c r="K221" s="35">
        <f t="shared" si="160"/>
        <v>-1.1499999999999999</v>
      </c>
      <c r="L221" s="36">
        <f t="shared" si="161"/>
        <v>0</v>
      </c>
      <c r="M221" s="36">
        <f t="shared" si="162"/>
        <v>0</v>
      </c>
      <c r="N221" s="37">
        <f t="shared" si="150"/>
        <v>0</v>
      </c>
      <c r="O221" s="37">
        <f t="shared" si="151"/>
        <v>0</v>
      </c>
      <c r="P221" s="37">
        <f t="shared" si="152"/>
        <v>0</v>
      </c>
      <c r="Q221" s="38">
        <f t="shared" si="163"/>
        <v>38.85</v>
      </c>
      <c r="R221" s="39">
        <f t="shared" si="168"/>
        <v>1095</v>
      </c>
      <c r="S221" s="38">
        <f t="shared" si="169"/>
        <v>34.903170130754795</v>
      </c>
      <c r="T221" s="197">
        <f t="shared" si="164"/>
        <v>57.5</v>
      </c>
      <c r="U221" s="199">
        <f t="shared" si="165"/>
        <v>0</v>
      </c>
      <c r="V221" s="198">
        <f t="shared" si="166"/>
        <v>0</v>
      </c>
      <c r="W221" s="198">
        <f t="shared" si="167"/>
        <v>0</v>
      </c>
      <c r="X221" s="255">
        <f t="shared" si="170"/>
        <v>19</v>
      </c>
      <c r="Y221" s="255" t="str" cm="1">
        <f t="array" aca="1" ref="Y221" ca="1">IF(D221="","",CELL("address",D221))</f>
        <v>$D$221</v>
      </c>
      <c r="Z221" s="255" t="str" cm="1">
        <f t="array" aca="1" ref="Z221" ca="1">IF(Q221="","",CELL("address",Q221))</f>
        <v>$Q$221</v>
      </c>
      <c r="AA221" s="255" t="str" cm="1">
        <f t="array" aca="1" ref="AA221" ca="1">IF(T221="","",CELL("address",T221))</f>
        <v>$T$221</v>
      </c>
    </row>
    <row r="222" spans="1:27" x14ac:dyDescent="0.2">
      <c r="A222" s="41">
        <v>20</v>
      </c>
      <c r="B222" s="42">
        <f t="shared" si="154"/>
        <v>46753</v>
      </c>
      <c r="C222" s="41">
        <f t="shared" si="155"/>
        <v>20</v>
      </c>
      <c r="D222" s="42">
        <f t="shared" si="156"/>
        <v>46753</v>
      </c>
      <c r="E222" s="33">
        <f t="shared" si="147"/>
        <v>0</v>
      </c>
      <c r="F222" s="34">
        <f t="shared" si="148"/>
        <v>0</v>
      </c>
      <c r="G222" s="34">
        <f t="shared" si="149"/>
        <v>0</v>
      </c>
      <c r="H222" s="35">
        <f t="shared" si="157"/>
        <v>0</v>
      </c>
      <c r="I222" s="35">
        <f t="shared" si="158"/>
        <v>0</v>
      </c>
      <c r="J222" s="35">
        <f t="shared" si="159"/>
        <v>0</v>
      </c>
      <c r="K222" s="35">
        <f t="shared" si="160"/>
        <v>0</v>
      </c>
      <c r="L222" s="36">
        <f t="shared" si="161"/>
        <v>-7.5</v>
      </c>
      <c r="M222" s="36">
        <f t="shared" si="162"/>
        <v>-1.73</v>
      </c>
      <c r="N222" s="37">
        <f t="shared" si="150"/>
        <v>0</v>
      </c>
      <c r="O222" s="37">
        <f t="shared" si="151"/>
        <v>0</v>
      </c>
      <c r="P222" s="37">
        <f t="shared" si="152"/>
        <v>0</v>
      </c>
      <c r="Q222" s="38">
        <f t="shared" si="163"/>
        <v>-9.23</v>
      </c>
      <c r="R222" s="39">
        <f t="shared" si="168"/>
        <v>1172</v>
      </c>
      <c r="S222" s="38">
        <f t="shared" si="169"/>
        <v>-8.230076086666001</v>
      </c>
      <c r="T222" s="197">
        <f t="shared" si="164"/>
        <v>-7.5</v>
      </c>
      <c r="U222" s="199">
        <f t="shared" si="165"/>
        <v>0</v>
      </c>
      <c r="V222" s="198">
        <f t="shared" si="166"/>
        <v>0</v>
      </c>
      <c r="W222" s="198">
        <f t="shared" si="167"/>
        <v>0</v>
      </c>
      <c r="X222" s="255">
        <f t="shared" si="170"/>
        <v>20</v>
      </c>
      <c r="Y222" s="255" t="str" cm="1">
        <f t="array" aca="1" ref="Y222" ca="1">IF(D222="","",CELL("address",D222))</f>
        <v>$D$222</v>
      </c>
      <c r="Z222" s="255" t="str" cm="1">
        <f t="array" aca="1" ref="Z222" ca="1">IF(Q222="","",CELL("address",Q222))</f>
        <v>$Q$222</v>
      </c>
      <c r="AA222" s="255" t="str" cm="1">
        <f t="array" aca="1" ref="AA222" ca="1">IF(T222="","",CELL("address",T222))</f>
        <v>$T$222</v>
      </c>
    </row>
    <row r="223" spans="1:27" x14ac:dyDescent="0.2">
      <c r="A223" s="41">
        <v>21</v>
      </c>
      <c r="B223" s="42">
        <f t="shared" si="154"/>
        <v>46844</v>
      </c>
      <c r="C223" s="41">
        <f t="shared" si="155"/>
        <v>21</v>
      </c>
      <c r="D223" s="42">
        <f t="shared" si="156"/>
        <v>46844</v>
      </c>
      <c r="E223" s="33">
        <f t="shared" si="147"/>
        <v>0</v>
      </c>
      <c r="F223" s="34">
        <f t="shared" si="148"/>
        <v>0</v>
      </c>
      <c r="G223" s="34">
        <f t="shared" si="149"/>
        <v>0</v>
      </c>
      <c r="H223" s="35">
        <f t="shared" si="157"/>
        <v>0</v>
      </c>
      <c r="I223" s="35">
        <f t="shared" si="158"/>
        <v>0</v>
      </c>
      <c r="J223" s="35">
        <f t="shared" si="159"/>
        <v>0</v>
      </c>
      <c r="K223" s="35">
        <f t="shared" si="160"/>
        <v>0</v>
      </c>
      <c r="L223" s="36">
        <f t="shared" si="161"/>
        <v>-7.5</v>
      </c>
      <c r="M223" s="36">
        <f t="shared" si="162"/>
        <v>-1.73</v>
      </c>
      <c r="N223" s="37">
        <f t="shared" si="150"/>
        <v>0</v>
      </c>
      <c r="O223" s="37">
        <f t="shared" si="151"/>
        <v>0</v>
      </c>
      <c r="P223" s="37">
        <f t="shared" si="152"/>
        <v>0</v>
      </c>
      <c r="Q223" s="38">
        <f t="shared" si="163"/>
        <v>-9.23</v>
      </c>
      <c r="R223" s="39">
        <f t="shared" si="168"/>
        <v>1263</v>
      </c>
      <c r="S223" s="38">
        <f t="shared" si="169"/>
        <v>-8.1571283074568193</v>
      </c>
      <c r="T223" s="197">
        <f t="shared" si="164"/>
        <v>-7.5</v>
      </c>
      <c r="U223" s="199">
        <f t="shared" si="165"/>
        <v>0</v>
      </c>
      <c r="V223" s="198">
        <f t="shared" si="166"/>
        <v>0</v>
      </c>
      <c r="W223" s="198">
        <f t="shared" si="167"/>
        <v>0</v>
      </c>
      <c r="X223" s="255">
        <f t="shared" si="170"/>
        <v>21</v>
      </c>
      <c r="Y223" s="255" t="str" cm="1">
        <f t="array" aca="1" ref="Y223" ca="1">IF(D223="","",CELL("address",D223))</f>
        <v>$D$223</v>
      </c>
      <c r="Z223" s="255" t="str" cm="1">
        <f t="array" aca="1" ref="Z223" ca="1">IF(Q223="","",CELL("address",Q223))</f>
        <v>$Q$223</v>
      </c>
      <c r="AA223" s="255" t="str" cm="1">
        <f t="array" aca="1" ref="AA223" ca="1">IF(T223="","",CELL("address",T223))</f>
        <v>$T$223</v>
      </c>
    </row>
    <row r="224" spans="1:27" x14ac:dyDescent="0.2">
      <c r="A224" s="41">
        <v>22</v>
      </c>
      <c r="B224" s="42">
        <f t="shared" si="154"/>
        <v>46859</v>
      </c>
      <c r="C224" s="41">
        <f t="shared" si="155"/>
        <v>22</v>
      </c>
      <c r="D224" s="42">
        <f t="shared" si="156"/>
        <v>46859</v>
      </c>
      <c r="E224" s="33">
        <f t="shared" si="147"/>
        <v>0</v>
      </c>
      <c r="F224" s="34">
        <f t="shared" si="148"/>
        <v>0</v>
      </c>
      <c r="G224" s="34">
        <f t="shared" si="149"/>
        <v>0</v>
      </c>
      <c r="H224" s="35">
        <f t="shared" si="157"/>
        <v>62.5</v>
      </c>
      <c r="I224" s="35">
        <f t="shared" si="158"/>
        <v>-17.5</v>
      </c>
      <c r="J224" s="35">
        <f t="shared" si="159"/>
        <v>-5</v>
      </c>
      <c r="K224" s="35">
        <f t="shared" si="160"/>
        <v>-1.1499999999999999</v>
      </c>
      <c r="L224" s="36">
        <f t="shared" si="161"/>
        <v>0</v>
      </c>
      <c r="M224" s="36">
        <f t="shared" si="162"/>
        <v>0</v>
      </c>
      <c r="N224" s="37">
        <f t="shared" si="150"/>
        <v>0</v>
      </c>
      <c r="O224" s="37">
        <f t="shared" si="151"/>
        <v>0</v>
      </c>
      <c r="P224" s="37">
        <f t="shared" si="152"/>
        <v>0</v>
      </c>
      <c r="Q224" s="38">
        <f t="shared" si="163"/>
        <v>38.85</v>
      </c>
      <c r="R224" s="39">
        <f t="shared" si="168"/>
        <v>1278</v>
      </c>
      <c r="S224" s="38">
        <f t="shared" si="169"/>
        <v>34.283825125770548</v>
      </c>
      <c r="T224" s="197">
        <f t="shared" si="164"/>
        <v>57.5</v>
      </c>
      <c r="U224" s="199">
        <f t="shared" si="165"/>
        <v>0</v>
      </c>
      <c r="V224" s="198">
        <f t="shared" si="166"/>
        <v>0</v>
      </c>
      <c r="W224" s="198">
        <f t="shared" si="167"/>
        <v>0</v>
      </c>
      <c r="X224" s="255">
        <f t="shared" si="170"/>
        <v>22</v>
      </c>
      <c r="Y224" s="255" t="str" cm="1">
        <f t="array" aca="1" ref="Y224" ca="1">IF(D224="","",CELL("address",D224))</f>
        <v>$D$224</v>
      </c>
      <c r="Z224" s="255" t="str" cm="1">
        <f t="array" aca="1" ref="Z224" ca="1">IF(Q224="","",CELL("address",Q224))</f>
        <v>$Q$224</v>
      </c>
      <c r="AA224" s="255" t="str" cm="1">
        <f t="array" aca="1" ref="AA224" ca="1">IF(T224="","",CELL("address",T224))</f>
        <v>$T$224</v>
      </c>
    </row>
    <row r="225" spans="1:27" x14ac:dyDescent="0.2">
      <c r="A225" s="41">
        <v>23</v>
      </c>
      <c r="B225" s="42">
        <f t="shared" si="154"/>
        <v>46935</v>
      </c>
      <c r="C225" s="41">
        <f t="shared" si="155"/>
        <v>23</v>
      </c>
      <c r="D225" s="42">
        <f t="shared" si="156"/>
        <v>46935</v>
      </c>
      <c r="E225" s="33">
        <f t="shared" si="147"/>
        <v>0</v>
      </c>
      <c r="F225" s="34">
        <f t="shared" si="148"/>
        <v>0</v>
      </c>
      <c r="G225" s="34">
        <f t="shared" si="149"/>
        <v>0</v>
      </c>
      <c r="H225" s="35">
        <f t="shared" si="157"/>
        <v>0</v>
      </c>
      <c r="I225" s="35">
        <f t="shared" si="158"/>
        <v>0</v>
      </c>
      <c r="J225" s="35">
        <f t="shared" si="159"/>
        <v>0</v>
      </c>
      <c r="K225" s="35">
        <f t="shared" si="160"/>
        <v>0</v>
      </c>
      <c r="L225" s="36">
        <f t="shared" si="161"/>
        <v>-7.5</v>
      </c>
      <c r="M225" s="36">
        <f t="shared" si="162"/>
        <v>-1.73</v>
      </c>
      <c r="N225" s="37">
        <f t="shared" si="150"/>
        <v>0</v>
      </c>
      <c r="O225" s="37">
        <f t="shared" si="151"/>
        <v>0</v>
      </c>
      <c r="P225" s="37">
        <f t="shared" si="152"/>
        <v>0</v>
      </c>
      <c r="Q225" s="38">
        <f t="shared" si="163"/>
        <v>-9.23</v>
      </c>
      <c r="R225" s="39">
        <f t="shared" si="168"/>
        <v>1354</v>
      </c>
      <c r="S225" s="38">
        <f t="shared" si="169"/>
        <v>-8.0848271053187961</v>
      </c>
      <c r="T225" s="197">
        <f t="shared" si="164"/>
        <v>-7.5</v>
      </c>
      <c r="U225" s="199">
        <f t="shared" si="165"/>
        <v>0</v>
      </c>
      <c r="V225" s="198">
        <f t="shared" si="166"/>
        <v>0</v>
      </c>
      <c r="W225" s="198">
        <f t="shared" si="167"/>
        <v>0</v>
      </c>
      <c r="X225" s="255">
        <f t="shared" si="170"/>
        <v>23</v>
      </c>
      <c r="Y225" s="255" t="str" cm="1">
        <f t="array" aca="1" ref="Y225" ca="1">IF(D225="","",CELL("address",D225))</f>
        <v>$D$225</v>
      </c>
      <c r="Z225" s="255" t="str" cm="1">
        <f t="array" aca="1" ref="Z225" ca="1">IF(Q225="","",CELL("address",Q225))</f>
        <v>$Q$225</v>
      </c>
      <c r="AA225" s="255" t="str" cm="1">
        <f t="array" aca="1" ref="AA225" ca="1">IF(T225="","",CELL("address",T225))</f>
        <v>$T$225</v>
      </c>
    </row>
    <row r="226" spans="1:27" x14ac:dyDescent="0.2">
      <c r="A226" s="41">
        <v>24</v>
      </c>
      <c r="B226" s="42">
        <f t="shared" si="154"/>
        <v>47027</v>
      </c>
      <c r="C226" s="41">
        <f t="shared" si="155"/>
        <v>24</v>
      </c>
      <c r="D226" s="42">
        <f t="shared" si="156"/>
        <v>47027</v>
      </c>
      <c r="E226" s="33">
        <f t="shared" si="147"/>
        <v>0</v>
      </c>
      <c r="F226" s="34">
        <f t="shared" si="148"/>
        <v>0</v>
      </c>
      <c r="G226" s="34">
        <f t="shared" si="149"/>
        <v>0</v>
      </c>
      <c r="H226" s="35">
        <f t="shared" si="157"/>
        <v>0</v>
      </c>
      <c r="I226" s="35">
        <f t="shared" si="158"/>
        <v>0</v>
      </c>
      <c r="J226" s="35">
        <f t="shared" si="159"/>
        <v>0</v>
      </c>
      <c r="K226" s="35">
        <f t="shared" si="160"/>
        <v>0</v>
      </c>
      <c r="L226" s="36">
        <f t="shared" si="161"/>
        <v>-7.5</v>
      </c>
      <c r="M226" s="36">
        <f t="shared" si="162"/>
        <v>-1.73</v>
      </c>
      <c r="N226" s="37">
        <f t="shared" si="150"/>
        <v>0</v>
      </c>
      <c r="O226" s="37">
        <f t="shared" si="151"/>
        <v>0</v>
      </c>
      <c r="P226" s="37">
        <f t="shared" si="152"/>
        <v>0</v>
      </c>
      <c r="Q226" s="38">
        <f t="shared" si="163"/>
        <v>-9.23</v>
      </c>
      <c r="R226" s="39">
        <f t="shared" si="168"/>
        <v>1446</v>
      </c>
      <c r="S226" s="38">
        <f t="shared" si="169"/>
        <v>-8.0123828114656845</v>
      </c>
      <c r="T226" s="197">
        <f t="shared" si="164"/>
        <v>-7.5</v>
      </c>
      <c r="U226" s="199">
        <f t="shared" si="165"/>
        <v>0</v>
      </c>
      <c r="V226" s="198">
        <f t="shared" si="166"/>
        <v>0</v>
      </c>
      <c r="W226" s="198">
        <f t="shared" si="167"/>
        <v>0</v>
      </c>
      <c r="X226" s="255">
        <f t="shared" si="170"/>
        <v>24</v>
      </c>
      <c r="Y226" s="255" t="str" cm="1">
        <f t="array" aca="1" ref="Y226" ca="1">IF(D226="","",CELL("address",D226))</f>
        <v>$D$226</v>
      </c>
      <c r="Z226" s="255" t="str" cm="1">
        <f t="array" aca="1" ref="Z226" ca="1">IF(Q226="","",CELL("address",Q226))</f>
        <v>$Q$226</v>
      </c>
      <c r="AA226" s="255" t="str" cm="1">
        <f t="array" aca="1" ref="AA226" ca="1">IF(T226="","",CELL("address",T226))</f>
        <v>$T$226</v>
      </c>
    </row>
    <row r="227" spans="1:27" x14ac:dyDescent="0.2">
      <c r="A227" s="41">
        <v>25</v>
      </c>
      <c r="B227" s="42">
        <f t="shared" si="154"/>
        <v>47042</v>
      </c>
      <c r="C227" s="41">
        <f t="shared" si="155"/>
        <v>25</v>
      </c>
      <c r="D227" s="42">
        <f t="shared" si="156"/>
        <v>47042</v>
      </c>
      <c r="E227" s="33">
        <f t="shared" si="147"/>
        <v>0</v>
      </c>
      <c r="F227" s="34">
        <f t="shared" si="148"/>
        <v>0</v>
      </c>
      <c r="G227" s="34">
        <f t="shared" si="149"/>
        <v>0</v>
      </c>
      <c r="H227" s="35">
        <f t="shared" si="157"/>
        <v>62.5</v>
      </c>
      <c r="I227" s="35">
        <f t="shared" si="158"/>
        <v>-17.5</v>
      </c>
      <c r="J227" s="35">
        <f t="shared" si="159"/>
        <v>-5</v>
      </c>
      <c r="K227" s="35">
        <f t="shared" si="160"/>
        <v>-1.1499999999999999</v>
      </c>
      <c r="L227" s="36">
        <f t="shared" si="161"/>
        <v>0</v>
      </c>
      <c r="M227" s="36">
        <f t="shared" si="162"/>
        <v>0</v>
      </c>
      <c r="N227" s="37">
        <f t="shared" si="150"/>
        <v>0</v>
      </c>
      <c r="O227" s="37">
        <f t="shared" si="151"/>
        <v>0</v>
      </c>
      <c r="P227" s="37">
        <f t="shared" si="152"/>
        <v>0</v>
      </c>
      <c r="Q227" s="38">
        <f t="shared" si="163"/>
        <v>38.85</v>
      </c>
      <c r="R227" s="39">
        <f t="shared" si="168"/>
        <v>1461</v>
      </c>
      <c r="S227" s="38">
        <f t="shared" si="169"/>
        <v>33.675470189417936</v>
      </c>
      <c r="T227" s="197">
        <f t="shared" si="164"/>
        <v>57.5</v>
      </c>
      <c r="U227" s="199">
        <f t="shared" si="165"/>
        <v>0</v>
      </c>
      <c r="V227" s="198">
        <f t="shared" si="166"/>
        <v>0</v>
      </c>
      <c r="W227" s="198">
        <f t="shared" si="167"/>
        <v>0</v>
      </c>
      <c r="X227" s="255">
        <f t="shared" si="170"/>
        <v>25</v>
      </c>
      <c r="Y227" s="255" t="str" cm="1">
        <f t="array" aca="1" ref="Y227" ca="1">IF(D227="","",CELL("address",D227))</f>
        <v>$D$227</v>
      </c>
      <c r="Z227" s="255" t="str" cm="1">
        <f t="array" aca="1" ref="Z227" ca="1">IF(Q227="","",CELL("address",Q227))</f>
        <v>$Q$227</v>
      </c>
      <c r="AA227" s="255" t="str" cm="1">
        <f t="array" aca="1" ref="AA227" ca="1">IF(T227="","",CELL("address",T227))</f>
        <v>$T$227</v>
      </c>
    </row>
    <row r="228" spans="1:27" x14ac:dyDescent="0.2">
      <c r="A228" s="41">
        <v>26</v>
      </c>
      <c r="B228" s="42">
        <f t="shared" si="154"/>
        <v>47119</v>
      </c>
      <c r="C228" s="41">
        <f t="shared" si="155"/>
        <v>26</v>
      </c>
      <c r="D228" s="42">
        <f t="shared" si="156"/>
        <v>47119</v>
      </c>
      <c r="E228" s="33">
        <f t="shared" si="147"/>
        <v>0</v>
      </c>
      <c r="F228" s="34">
        <f t="shared" si="148"/>
        <v>0</v>
      </c>
      <c r="G228" s="34">
        <f t="shared" si="149"/>
        <v>0</v>
      </c>
      <c r="H228" s="35">
        <f t="shared" si="157"/>
        <v>0</v>
      </c>
      <c r="I228" s="35">
        <f t="shared" si="158"/>
        <v>0</v>
      </c>
      <c r="J228" s="35">
        <f t="shared" si="159"/>
        <v>0</v>
      </c>
      <c r="K228" s="35">
        <f t="shared" si="160"/>
        <v>0</v>
      </c>
      <c r="L228" s="36">
        <f t="shared" si="161"/>
        <v>-7.5</v>
      </c>
      <c r="M228" s="36">
        <f t="shared" si="162"/>
        <v>-1.73</v>
      </c>
      <c r="N228" s="37">
        <f t="shared" si="150"/>
        <v>0</v>
      </c>
      <c r="O228" s="37">
        <f t="shared" si="151"/>
        <v>0</v>
      </c>
      <c r="P228" s="37">
        <f t="shared" si="152"/>
        <v>0</v>
      </c>
      <c r="Q228" s="38">
        <f t="shared" si="163"/>
        <v>-9.23</v>
      </c>
      <c r="R228" s="39">
        <f t="shared" si="168"/>
        <v>1538</v>
      </c>
      <c r="S228" s="38">
        <f t="shared" si="169"/>
        <v>-7.9405876565049072</v>
      </c>
      <c r="T228" s="197">
        <f t="shared" si="164"/>
        <v>-7.5</v>
      </c>
      <c r="U228" s="199">
        <f t="shared" si="165"/>
        <v>0</v>
      </c>
      <c r="V228" s="198">
        <f t="shared" si="166"/>
        <v>0</v>
      </c>
      <c r="W228" s="198">
        <f t="shared" si="167"/>
        <v>0</v>
      </c>
      <c r="X228" s="255">
        <f t="shared" si="170"/>
        <v>26</v>
      </c>
      <c r="Y228" s="255" t="str" cm="1">
        <f t="array" aca="1" ref="Y228" ca="1">IF(D228="","",CELL("address",D228))</f>
        <v>$D$228</v>
      </c>
      <c r="Z228" s="255" t="str" cm="1">
        <f t="array" aca="1" ref="Z228" ca="1">IF(Q228="","",CELL("address",Q228))</f>
        <v>$Q$228</v>
      </c>
      <c r="AA228" s="255" t="str" cm="1">
        <f t="array" aca="1" ref="AA228" ca="1">IF(T228="","",CELL("address",T228))</f>
        <v>$T$228</v>
      </c>
    </row>
    <row r="229" spans="1:27" x14ac:dyDescent="0.2">
      <c r="A229" s="41">
        <v>27</v>
      </c>
      <c r="B229" s="42">
        <f t="shared" si="154"/>
        <v>47209</v>
      </c>
      <c r="C229" s="41">
        <f t="shared" si="155"/>
        <v>27</v>
      </c>
      <c r="D229" s="42">
        <f t="shared" si="156"/>
        <v>47209</v>
      </c>
      <c r="E229" s="33">
        <f t="shared" si="147"/>
        <v>0</v>
      </c>
      <c r="F229" s="34">
        <f t="shared" si="148"/>
        <v>0</v>
      </c>
      <c r="G229" s="34">
        <f t="shared" si="149"/>
        <v>0</v>
      </c>
      <c r="H229" s="35">
        <f t="shared" si="157"/>
        <v>0</v>
      </c>
      <c r="I229" s="35">
        <f t="shared" si="158"/>
        <v>0</v>
      </c>
      <c r="J229" s="35">
        <f t="shared" si="159"/>
        <v>0</v>
      </c>
      <c r="K229" s="35">
        <f t="shared" si="160"/>
        <v>0</v>
      </c>
      <c r="L229" s="36">
        <f t="shared" si="161"/>
        <v>-7.5</v>
      </c>
      <c r="M229" s="36">
        <f t="shared" si="162"/>
        <v>-1.73</v>
      </c>
      <c r="N229" s="37">
        <f t="shared" si="150"/>
        <v>0</v>
      </c>
      <c r="O229" s="37">
        <f t="shared" si="151"/>
        <v>0</v>
      </c>
      <c r="P229" s="37">
        <f t="shared" si="152"/>
        <v>0</v>
      </c>
      <c r="Q229" s="38">
        <f t="shared" si="163"/>
        <v>-9.23</v>
      </c>
      <c r="R229" s="39">
        <f t="shared" si="168"/>
        <v>1628</v>
      </c>
      <c r="S229" s="38">
        <f t="shared" si="169"/>
        <v>-7.8709758026757211</v>
      </c>
      <c r="T229" s="197">
        <f t="shared" si="164"/>
        <v>-7.5</v>
      </c>
      <c r="U229" s="199">
        <f t="shared" si="165"/>
        <v>0</v>
      </c>
      <c r="V229" s="198">
        <f t="shared" si="166"/>
        <v>0</v>
      </c>
      <c r="W229" s="198">
        <f t="shared" si="167"/>
        <v>0</v>
      </c>
      <c r="X229" s="255">
        <f t="shared" si="170"/>
        <v>27</v>
      </c>
      <c r="Y229" s="255" t="str" cm="1">
        <f t="array" aca="1" ref="Y229" ca="1">IF(D229="","",CELL("address",D229))</f>
        <v>$D$229</v>
      </c>
      <c r="Z229" s="255" t="str" cm="1">
        <f t="array" aca="1" ref="Z229" ca="1">IF(Q229="","",CELL("address",Q229))</f>
        <v>$Q$229</v>
      </c>
      <c r="AA229" s="255" t="str" cm="1">
        <f t="array" aca="1" ref="AA229" ca="1">IF(T229="","",CELL("address",T229))</f>
        <v>$T$229</v>
      </c>
    </row>
    <row r="230" spans="1:27" x14ac:dyDescent="0.2">
      <c r="A230" s="41">
        <v>28</v>
      </c>
      <c r="B230" s="42">
        <f t="shared" si="154"/>
        <v>47224</v>
      </c>
      <c r="C230" s="41">
        <f t="shared" si="155"/>
        <v>28</v>
      </c>
      <c r="D230" s="42">
        <f t="shared" si="156"/>
        <v>47224</v>
      </c>
      <c r="E230" s="33">
        <f t="shared" si="147"/>
        <v>0</v>
      </c>
      <c r="F230" s="34">
        <f t="shared" si="148"/>
        <v>0</v>
      </c>
      <c r="G230" s="34">
        <f t="shared" si="149"/>
        <v>0</v>
      </c>
      <c r="H230" s="35">
        <f t="shared" si="157"/>
        <v>62.5</v>
      </c>
      <c r="I230" s="35">
        <f t="shared" si="158"/>
        <v>-17.5</v>
      </c>
      <c r="J230" s="35">
        <f t="shared" si="159"/>
        <v>-5</v>
      </c>
      <c r="K230" s="35">
        <f t="shared" si="160"/>
        <v>-1.1499999999999999</v>
      </c>
      <c r="L230" s="36">
        <f t="shared" si="161"/>
        <v>0</v>
      </c>
      <c r="M230" s="36">
        <f t="shared" si="162"/>
        <v>0</v>
      </c>
      <c r="N230" s="37">
        <f t="shared" si="150"/>
        <v>0</v>
      </c>
      <c r="O230" s="37">
        <f t="shared" si="151"/>
        <v>0</v>
      </c>
      <c r="P230" s="37">
        <f t="shared" si="152"/>
        <v>0</v>
      </c>
      <c r="Q230" s="38">
        <f t="shared" si="163"/>
        <v>38.85</v>
      </c>
      <c r="R230" s="39">
        <f t="shared" si="168"/>
        <v>1643</v>
      </c>
      <c r="S230" s="38">
        <f t="shared" si="169"/>
        <v>33.081146675285929</v>
      </c>
      <c r="T230" s="197">
        <f t="shared" si="164"/>
        <v>57.5</v>
      </c>
      <c r="U230" s="199">
        <f t="shared" si="165"/>
        <v>0</v>
      </c>
      <c r="V230" s="198">
        <f t="shared" si="166"/>
        <v>0</v>
      </c>
      <c r="W230" s="198">
        <f t="shared" si="167"/>
        <v>0</v>
      </c>
      <c r="X230" s="255">
        <f t="shared" si="170"/>
        <v>28</v>
      </c>
      <c r="Y230" s="255" t="str" cm="1">
        <f t="array" aca="1" ref="Y230" ca="1">IF(D230="","",CELL("address",D230))</f>
        <v>$D$230</v>
      </c>
      <c r="Z230" s="255" t="str" cm="1">
        <f t="array" aca="1" ref="Z230" ca="1">IF(Q230="","",CELL("address",Q230))</f>
        <v>$Q$230</v>
      </c>
      <c r="AA230" s="255" t="str" cm="1">
        <f t="array" aca="1" ref="AA230" ca="1">IF(T230="","",CELL("address",T230))</f>
        <v>$T$230</v>
      </c>
    </row>
    <row r="231" spans="1:27" x14ac:dyDescent="0.2">
      <c r="A231" s="41">
        <v>29</v>
      </c>
      <c r="B231" s="42">
        <f t="shared" si="154"/>
        <v>47300</v>
      </c>
      <c r="C231" s="41">
        <f t="shared" si="155"/>
        <v>29</v>
      </c>
      <c r="D231" s="42">
        <f t="shared" si="156"/>
        <v>47300</v>
      </c>
      <c r="E231" s="33">
        <f t="shared" si="147"/>
        <v>0</v>
      </c>
      <c r="F231" s="34">
        <f t="shared" si="148"/>
        <v>0</v>
      </c>
      <c r="G231" s="34">
        <f t="shared" si="149"/>
        <v>0</v>
      </c>
      <c r="H231" s="35">
        <f t="shared" si="157"/>
        <v>0</v>
      </c>
      <c r="I231" s="35">
        <f t="shared" si="158"/>
        <v>0</v>
      </c>
      <c r="J231" s="35">
        <f t="shared" si="159"/>
        <v>0</v>
      </c>
      <c r="K231" s="35">
        <f t="shared" si="160"/>
        <v>0</v>
      </c>
      <c r="L231" s="36">
        <f t="shared" si="161"/>
        <v>-7.5</v>
      </c>
      <c r="M231" s="36">
        <f t="shared" si="162"/>
        <v>-1.73</v>
      </c>
      <c r="N231" s="37">
        <f t="shared" si="150"/>
        <v>0</v>
      </c>
      <c r="O231" s="37">
        <f t="shared" si="151"/>
        <v>0</v>
      </c>
      <c r="P231" s="37">
        <f t="shared" si="152"/>
        <v>0</v>
      </c>
      <c r="Q231" s="38">
        <f t="shared" si="163"/>
        <v>-9.23</v>
      </c>
      <c r="R231" s="39">
        <f t="shared" si="168"/>
        <v>1719</v>
      </c>
      <c r="S231" s="38">
        <f t="shared" si="169"/>
        <v>-7.8012109306419548</v>
      </c>
      <c r="T231" s="197">
        <f t="shared" si="164"/>
        <v>-7.5</v>
      </c>
      <c r="U231" s="199">
        <f t="shared" si="165"/>
        <v>0</v>
      </c>
      <c r="V231" s="198">
        <f t="shared" si="166"/>
        <v>0</v>
      </c>
      <c r="W231" s="198">
        <f t="shared" si="167"/>
        <v>0</v>
      </c>
      <c r="X231" s="255">
        <f t="shared" si="170"/>
        <v>29</v>
      </c>
      <c r="Y231" s="255" t="str" cm="1">
        <f t="array" aca="1" ref="Y231" ca="1">IF(D231="","",CELL("address",D231))</f>
        <v>$D$231</v>
      </c>
      <c r="Z231" s="255" t="str" cm="1">
        <f t="array" aca="1" ref="Z231" ca="1">IF(Q231="","",CELL("address",Q231))</f>
        <v>$Q$231</v>
      </c>
      <c r="AA231" s="255" t="str" cm="1">
        <f t="array" aca="1" ref="AA231" ca="1">IF(T231="","",CELL("address",T231))</f>
        <v>$T$231</v>
      </c>
    </row>
    <row r="232" spans="1:27" x14ac:dyDescent="0.2">
      <c r="A232" s="41">
        <v>30</v>
      </c>
      <c r="B232" s="42">
        <f t="shared" si="154"/>
        <v>47392</v>
      </c>
      <c r="C232" s="41">
        <f t="shared" si="155"/>
        <v>30</v>
      </c>
      <c r="D232" s="42">
        <f t="shared" si="156"/>
        <v>47392</v>
      </c>
      <c r="E232" s="33">
        <f t="shared" si="147"/>
        <v>0</v>
      </c>
      <c r="F232" s="34">
        <f t="shared" si="148"/>
        <v>0</v>
      </c>
      <c r="G232" s="34">
        <f t="shared" si="149"/>
        <v>0</v>
      </c>
      <c r="H232" s="35">
        <f t="shared" si="157"/>
        <v>0</v>
      </c>
      <c r="I232" s="35">
        <f t="shared" si="158"/>
        <v>0</v>
      </c>
      <c r="J232" s="35">
        <f t="shared" si="159"/>
        <v>0</v>
      </c>
      <c r="K232" s="35">
        <f t="shared" si="160"/>
        <v>0</v>
      </c>
      <c r="L232" s="36">
        <f t="shared" si="161"/>
        <v>-7.5</v>
      </c>
      <c r="M232" s="36">
        <f t="shared" si="162"/>
        <v>-1.73</v>
      </c>
      <c r="N232" s="37">
        <f t="shared" si="150"/>
        <v>0</v>
      </c>
      <c r="O232" s="37">
        <f t="shared" si="151"/>
        <v>0</v>
      </c>
      <c r="P232" s="37">
        <f t="shared" si="152"/>
        <v>0</v>
      </c>
      <c r="Q232" s="38">
        <f t="shared" si="163"/>
        <v>-9.23</v>
      </c>
      <c r="R232" s="39">
        <f t="shared" si="168"/>
        <v>1811</v>
      </c>
      <c r="S232" s="38">
        <f t="shared" si="169"/>
        <v>-7.7313079865582477</v>
      </c>
      <c r="T232" s="197">
        <f t="shared" si="164"/>
        <v>-7.5</v>
      </c>
      <c r="U232" s="199">
        <f t="shared" si="165"/>
        <v>0</v>
      </c>
      <c r="V232" s="198">
        <f t="shared" si="166"/>
        <v>0</v>
      </c>
      <c r="W232" s="198">
        <f t="shared" si="167"/>
        <v>0</v>
      </c>
      <c r="X232" s="255">
        <f t="shared" si="170"/>
        <v>30</v>
      </c>
      <c r="Y232" s="255" t="str" cm="1">
        <f t="array" aca="1" ref="Y232" ca="1">IF(D232="","",CELL("address",D232))</f>
        <v>$D$232</v>
      </c>
      <c r="Z232" s="255" t="str" cm="1">
        <f t="array" aca="1" ref="Z232" ca="1">IF(Q232="","",CELL("address",Q232))</f>
        <v>$Q$232</v>
      </c>
      <c r="AA232" s="255" t="str" cm="1">
        <f t="array" aca="1" ref="AA232" ca="1">IF(T232="","",CELL("address",T232))</f>
        <v>$T$232</v>
      </c>
    </row>
    <row r="233" spans="1:27" x14ac:dyDescent="0.2">
      <c r="A233" s="41">
        <v>31</v>
      </c>
      <c r="B233" s="42">
        <f t="shared" si="154"/>
        <v>47407</v>
      </c>
      <c r="C233" s="41">
        <f t="shared" si="155"/>
        <v>31</v>
      </c>
      <c r="D233" s="42">
        <f t="shared" si="156"/>
        <v>47407</v>
      </c>
      <c r="E233" s="33">
        <f t="shared" si="147"/>
        <v>0</v>
      </c>
      <c r="F233" s="34">
        <f t="shared" si="148"/>
        <v>0</v>
      </c>
      <c r="G233" s="34">
        <f t="shared" si="149"/>
        <v>0</v>
      </c>
      <c r="H233" s="35">
        <f t="shared" si="157"/>
        <v>62.5</v>
      </c>
      <c r="I233" s="35">
        <f t="shared" si="158"/>
        <v>-17.5</v>
      </c>
      <c r="J233" s="35">
        <f t="shared" si="159"/>
        <v>-5</v>
      </c>
      <c r="K233" s="35">
        <f t="shared" si="160"/>
        <v>-1.1499999999999999</v>
      </c>
      <c r="L233" s="36">
        <f t="shared" si="161"/>
        <v>0</v>
      </c>
      <c r="M233" s="36">
        <f t="shared" si="162"/>
        <v>0</v>
      </c>
      <c r="N233" s="37">
        <f t="shared" si="150"/>
        <v>2500</v>
      </c>
      <c r="O233" s="37">
        <f t="shared" si="151"/>
        <v>-12.5</v>
      </c>
      <c r="P233" s="37">
        <f t="shared" si="152"/>
        <v>-2.88</v>
      </c>
      <c r="Q233" s="38">
        <f t="shared" si="163"/>
        <v>2523.4699999999998</v>
      </c>
      <c r="R233" s="39">
        <f t="shared" si="168"/>
        <v>1826</v>
      </c>
      <c r="S233" s="38">
        <f t="shared" si="169"/>
        <v>2110.6298444347062</v>
      </c>
      <c r="T233" s="197">
        <f t="shared" si="164"/>
        <v>2545</v>
      </c>
      <c r="U233" s="199">
        <f t="shared" si="165"/>
        <v>2500</v>
      </c>
      <c r="V233" s="198">
        <f t="shared" si="166"/>
        <v>-12.5</v>
      </c>
      <c r="W233" s="198">
        <f t="shared" si="167"/>
        <v>-2.88</v>
      </c>
      <c r="X233" s="255">
        <f t="shared" si="170"/>
        <v>31</v>
      </c>
      <c r="Y233" s="255" t="str" cm="1">
        <f t="array" aca="1" ref="Y233" ca="1">IF(D233="","",CELL("address",D233))</f>
        <v>$D$233</v>
      </c>
      <c r="Z233" s="255" t="str" cm="1">
        <f t="array" aca="1" ref="Z233" ca="1">IF(Q233="","",CELL("address",Q233))</f>
        <v>$Q$233</v>
      </c>
      <c r="AA233" s="255" t="str" cm="1">
        <f t="array" aca="1" ref="AA233" ca="1">IF(T233="","",CELL("address",T233))</f>
        <v>$T$233</v>
      </c>
    </row>
    <row r="234" spans="1:27" x14ac:dyDescent="0.2">
      <c r="A234" s="41">
        <v>32</v>
      </c>
      <c r="B234" s="42" t="str">
        <f t="shared" si="154"/>
        <v/>
      </c>
      <c r="C234" s="41">
        <f>IF(B234=0,"",A234)</f>
        <v>32</v>
      </c>
      <c r="D234" s="42" t="str">
        <f t="shared" si="156"/>
        <v/>
      </c>
      <c r="E234" s="33" t="str">
        <f t="shared" si="147"/>
        <v/>
      </c>
      <c r="F234" s="34" t="str">
        <f t="shared" si="148"/>
        <v/>
      </c>
      <c r="G234" s="34" t="str">
        <f t="shared" si="149"/>
        <v/>
      </c>
      <c r="H234" s="35" t="str">
        <f t="shared" si="157"/>
        <v/>
      </c>
      <c r="I234" s="35" t="str">
        <f t="shared" si="158"/>
        <v/>
      </c>
      <c r="J234" s="35" t="str">
        <f t="shared" si="159"/>
        <v/>
      </c>
      <c r="K234" s="35" t="str">
        <f t="shared" si="160"/>
        <v/>
      </c>
      <c r="L234" s="36" t="str">
        <f t="shared" si="161"/>
        <v/>
      </c>
      <c r="M234" s="36" t="str">
        <f t="shared" si="162"/>
        <v/>
      </c>
      <c r="N234" s="37" t="str">
        <f t="shared" si="150"/>
        <v/>
      </c>
      <c r="O234" s="37" t="str">
        <f t="shared" si="151"/>
        <v/>
      </c>
      <c r="P234" s="37" t="str">
        <f t="shared" si="152"/>
        <v/>
      </c>
      <c r="Q234" s="38" t="str">
        <f t="shared" si="163"/>
        <v/>
      </c>
      <c r="R234" s="39" t="str">
        <f t="shared" si="168"/>
        <v/>
      </c>
      <c r="S234" s="38" t="str">
        <f t="shared" si="169"/>
        <v/>
      </c>
      <c r="T234" s="197" t="str">
        <f t="shared" si="164"/>
        <v/>
      </c>
      <c r="U234" s="199" t="str">
        <f t="shared" si="165"/>
        <v/>
      </c>
      <c r="V234" s="198" t="str">
        <f t="shared" si="166"/>
        <v/>
      </c>
      <c r="W234" s="198" t="str">
        <f t="shared" si="167"/>
        <v/>
      </c>
      <c r="X234" s="255" t="str">
        <f t="shared" si="170"/>
        <v/>
      </c>
      <c r="Y234" s="255" t="str" cm="1">
        <f t="array" aca="1" ref="Y234" ca="1">IF(D234="","",CELL("address",D234))</f>
        <v/>
      </c>
      <c r="Z234" s="255" t="str" cm="1">
        <f t="array" aca="1" ref="Z234" ca="1">IF(Q234="","",CELL("address",Q234))</f>
        <v/>
      </c>
      <c r="AA234" s="255" t="str" cm="1">
        <f t="array" aca="1" ref="AA234" ca="1">IF(T234="","",CELL("address",T234))</f>
        <v/>
      </c>
    </row>
    <row r="235" spans="1:27" x14ac:dyDescent="0.2">
      <c r="A235" s="41">
        <v>33</v>
      </c>
      <c r="B235" s="42" t="str">
        <f t="shared" si="154"/>
        <v/>
      </c>
      <c r="C235" s="41">
        <f t="shared" ref="C235:C246" si="171">IF(B235=0,"",A235)</f>
        <v>33</v>
      </c>
      <c r="D235" s="42" t="str">
        <f t="shared" si="156"/>
        <v/>
      </c>
      <c r="E235" s="33" t="str">
        <f t="shared" si="147"/>
        <v/>
      </c>
      <c r="F235" s="34" t="str">
        <f t="shared" si="148"/>
        <v/>
      </c>
      <c r="G235" s="34" t="str">
        <f t="shared" si="149"/>
        <v/>
      </c>
      <c r="H235" s="35" t="str">
        <f t="shared" si="157"/>
        <v/>
      </c>
      <c r="I235" s="35" t="str">
        <f t="shared" si="158"/>
        <v/>
      </c>
      <c r="J235" s="35" t="str">
        <f t="shared" si="159"/>
        <v/>
      </c>
      <c r="K235" s="35" t="str">
        <f t="shared" si="160"/>
        <v/>
      </c>
      <c r="L235" s="36" t="str">
        <f t="shared" si="161"/>
        <v/>
      </c>
      <c r="M235" s="36" t="str">
        <f t="shared" si="162"/>
        <v/>
      </c>
      <c r="N235" s="37" t="str">
        <f t="shared" si="150"/>
        <v/>
      </c>
      <c r="O235" s="37" t="str">
        <f t="shared" si="151"/>
        <v/>
      </c>
      <c r="P235" s="37" t="str">
        <f t="shared" si="152"/>
        <v/>
      </c>
      <c r="Q235" s="38" t="str">
        <f t="shared" si="163"/>
        <v/>
      </c>
      <c r="R235" s="39" t="str">
        <f t="shared" si="168"/>
        <v/>
      </c>
      <c r="S235" s="38" t="str">
        <f t="shared" si="169"/>
        <v/>
      </c>
      <c r="T235" s="197" t="str">
        <f t="shared" si="164"/>
        <v/>
      </c>
      <c r="U235" s="199" t="str">
        <f t="shared" si="165"/>
        <v/>
      </c>
      <c r="V235" s="198" t="str">
        <f t="shared" si="166"/>
        <v/>
      </c>
      <c r="W235" s="198" t="str">
        <f t="shared" si="167"/>
        <v/>
      </c>
      <c r="X235" s="255" t="str">
        <f t="shared" si="170"/>
        <v/>
      </c>
      <c r="Y235" s="255" t="str" cm="1">
        <f t="array" aca="1" ref="Y235" ca="1">IF(D235="","",CELL("address",D235))</f>
        <v/>
      </c>
      <c r="Z235" s="255" t="str" cm="1">
        <f t="array" aca="1" ref="Z235" ca="1">IF(Q235="","",CELL("address",Q235))</f>
        <v/>
      </c>
      <c r="AA235" s="255" t="str" cm="1">
        <f t="array" aca="1" ref="AA235" ca="1">IF(T235="","",CELL("address",T235))</f>
        <v/>
      </c>
    </row>
    <row r="236" spans="1:27" x14ac:dyDescent="0.2">
      <c r="A236" s="41">
        <v>34</v>
      </c>
      <c r="B236" s="42" t="str">
        <f t="shared" si="154"/>
        <v/>
      </c>
      <c r="C236" s="41">
        <f t="shared" si="171"/>
        <v>34</v>
      </c>
      <c r="D236" s="42" t="str">
        <f t="shared" si="156"/>
        <v/>
      </c>
      <c r="E236" s="33" t="str">
        <f t="shared" si="147"/>
        <v/>
      </c>
      <c r="F236" s="34" t="str">
        <f t="shared" si="148"/>
        <v/>
      </c>
      <c r="G236" s="34" t="str">
        <f t="shared" si="149"/>
        <v/>
      </c>
      <c r="H236" s="35" t="str">
        <f t="shared" si="157"/>
        <v/>
      </c>
      <c r="I236" s="35" t="str">
        <f t="shared" si="158"/>
        <v/>
      </c>
      <c r="J236" s="35" t="str">
        <f t="shared" si="159"/>
        <v/>
      </c>
      <c r="K236" s="35" t="str">
        <f t="shared" si="160"/>
        <v/>
      </c>
      <c r="L236" s="36" t="str">
        <f t="shared" si="161"/>
        <v/>
      </c>
      <c r="M236" s="36" t="str">
        <f t="shared" si="162"/>
        <v/>
      </c>
      <c r="N236" s="37" t="str">
        <f t="shared" si="150"/>
        <v/>
      </c>
      <c r="O236" s="37" t="str">
        <f t="shared" si="151"/>
        <v/>
      </c>
      <c r="P236" s="37" t="str">
        <f t="shared" si="152"/>
        <v/>
      </c>
      <c r="Q236" s="38" t="str">
        <f t="shared" si="163"/>
        <v/>
      </c>
      <c r="R236" s="39" t="str">
        <f t="shared" si="168"/>
        <v/>
      </c>
      <c r="S236" s="38" t="str">
        <f t="shared" si="169"/>
        <v/>
      </c>
      <c r="T236" s="197" t="str">
        <f t="shared" si="164"/>
        <v/>
      </c>
      <c r="U236" s="199" t="str">
        <f t="shared" si="165"/>
        <v/>
      </c>
      <c r="V236" s="198" t="str">
        <f t="shared" si="166"/>
        <v/>
      </c>
      <c r="W236" s="198" t="str">
        <f t="shared" si="167"/>
        <v/>
      </c>
      <c r="X236" s="255" t="str">
        <f t="shared" si="170"/>
        <v/>
      </c>
      <c r="Y236" s="255" t="str" cm="1">
        <f t="array" aca="1" ref="Y236" ca="1">IF(D236="","",CELL("address",D236))</f>
        <v/>
      </c>
      <c r="Z236" s="255" t="str" cm="1">
        <f t="array" aca="1" ref="Z236" ca="1">IF(Q236="","",CELL("address",Q236))</f>
        <v/>
      </c>
      <c r="AA236" s="255" t="str" cm="1">
        <f t="array" aca="1" ref="AA236" ca="1">IF(T236="","",CELL("address",T236))</f>
        <v/>
      </c>
    </row>
    <row r="237" spans="1:27" x14ac:dyDescent="0.2">
      <c r="A237" s="41">
        <v>35</v>
      </c>
      <c r="B237" s="42" t="str">
        <f t="shared" si="154"/>
        <v/>
      </c>
      <c r="C237" s="41">
        <f t="shared" si="171"/>
        <v>35</v>
      </c>
      <c r="D237" s="42" t="str">
        <f t="shared" si="156"/>
        <v/>
      </c>
      <c r="E237" s="33" t="str">
        <f t="shared" si="147"/>
        <v/>
      </c>
      <c r="F237" s="34" t="str">
        <f t="shared" si="148"/>
        <v/>
      </c>
      <c r="G237" s="34" t="str">
        <f t="shared" si="149"/>
        <v/>
      </c>
      <c r="H237" s="35" t="str">
        <f t="shared" si="157"/>
        <v/>
      </c>
      <c r="I237" s="35" t="str">
        <f t="shared" si="158"/>
        <v/>
      </c>
      <c r="J237" s="35" t="str">
        <f t="shared" si="159"/>
        <v/>
      </c>
      <c r="K237" s="35" t="str">
        <f t="shared" si="160"/>
        <v/>
      </c>
      <c r="L237" s="36" t="str">
        <f t="shared" si="161"/>
        <v/>
      </c>
      <c r="M237" s="36" t="str">
        <f t="shared" si="162"/>
        <v/>
      </c>
      <c r="N237" s="37" t="str">
        <f t="shared" si="150"/>
        <v/>
      </c>
      <c r="O237" s="37" t="str">
        <f t="shared" si="151"/>
        <v/>
      </c>
      <c r="P237" s="37" t="str">
        <f t="shared" si="152"/>
        <v/>
      </c>
      <c r="Q237" s="38" t="str">
        <f t="shared" si="163"/>
        <v/>
      </c>
      <c r="R237" s="39" t="str">
        <f t="shared" si="168"/>
        <v/>
      </c>
      <c r="S237" s="38" t="str">
        <f t="shared" si="169"/>
        <v/>
      </c>
      <c r="T237" s="197" t="str">
        <f t="shared" si="164"/>
        <v/>
      </c>
      <c r="U237" s="199" t="str">
        <f t="shared" si="165"/>
        <v/>
      </c>
      <c r="V237" s="198" t="str">
        <f t="shared" si="166"/>
        <v/>
      </c>
      <c r="W237" s="198" t="str">
        <f t="shared" si="167"/>
        <v/>
      </c>
      <c r="X237" s="255" t="str">
        <f t="shared" si="170"/>
        <v/>
      </c>
      <c r="Y237" s="255" t="str" cm="1">
        <f t="array" aca="1" ref="Y237" ca="1">IF(D237="","",CELL("address",D237))</f>
        <v/>
      </c>
      <c r="Z237" s="255" t="str" cm="1">
        <f t="array" aca="1" ref="Z237" ca="1">IF(Q237="","",CELL("address",Q237))</f>
        <v/>
      </c>
      <c r="AA237" s="255" t="str" cm="1">
        <f t="array" aca="1" ref="AA237" ca="1">IF(T237="","",CELL("address",T237))</f>
        <v/>
      </c>
    </row>
    <row r="238" spans="1:27" x14ac:dyDescent="0.2">
      <c r="A238" s="41">
        <v>36</v>
      </c>
      <c r="B238" s="42" t="str">
        <f t="shared" si="154"/>
        <v/>
      </c>
      <c r="C238" s="41">
        <f t="shared" si="171"/>
        <v>36</v>
      </c>
      <c r="D238" s="42" t="str">
        <f t="shared" si="156"/>
        <v/>
      </c>
      <c r="E238" s="33" t="str">
        <f t="shared" si="147"/>
        <v/>
      </c>
      <c r="F238" s="34" t="str">
        <f t="shared" si="148"/>
        <v/>
      </c>
      <c r="G238" s="34" t="str">
        <f t="shared" si="149"/>
        <v/>
      </c>
      <c r="H238" s="35" t="str">
        <f t="shared" si="157"/>
        <v/>
      </c>
      <c r="I238" s="35" t="str">
        <f t="shared" si="158"/>
        <v/>
      </c>
      <c r="J238" s="35" t="str">
        <f t="shared" si="159"/>
        <v/>
      </c>
      <c r="K238" s="35" t="str">
        <f t="shared" si="160"/>
        <v/>
      </c>
      <c r="L238" s="36" t="str">
        <f t="shared" si="161"/>
        <v/>
      </c>
      <c r="M238" s="36" t="str">
        <f t="shared" si="162"/>
        <v/>
      </c>
      <c r="N238" s="37" t="str">
        <f t="shared" si="150"/>
        <v/>
      </c>
      <c r="O238" s="37" t="str">
        <f t="shared" si="151"/>
        <v/>
      </c>
      <c r="P238" s="37" t="str">
        <f t="shared" si="152"/>
        <v/>
      </c>
      <c r="Q238" s="38" t="str">
        <f t="shared" si="163"/>
        <v/>
      </c>
      <c r="R238" s="39" t="str">
        <f t="shared" si="168"/>
        <v/>
      </c>
      <c r="S238" s="38" t="str">
        <f t="shared" si="169"/>
        <v/>
      </c>
      <c r="T238" s="197" t="str">
        <f t="shared" si="164"/>
        <v/>
      </c>
      <c r="U238" s="199" t="str">
        <f t="shared" si="165"/>
        <v/>
      </c>
      <c r="V238" s="198" t="str">
        <f t="shared" si="166"/>
        <v/>
      </c>
      <c r="W238" s="198" t="str">
        <f t="shared" si="167"/>
        <v/>
      </c>
      <c r="X238" s="255" t="str">
        <f t="shared" si="170"/>
        <v/>
      </c>
      <c r="Y238" s="255" t="str" cm="1">
        <f t="array" aca="1" ref="Y238" ca="1">IF(D238="","",CELL("address",D238))</f>
        <v/>
      </c>
      <c r="Z238" s="255" t="str" cm="1">
        <f t="array" aca="1" ref="Z238" ca="1">IF(Q238="","",CELL("address",Q238))</f>
        <v/>
      </c>
      <c r="AA238" s="255" t="str" cm="1">
        <f t="array" aca="1" ref="AA238" ca="1">IF(T238="","",CELL("address",T238))</f>
        <v/>
      </c>
    </row>
    <row r="239" spans="1:27" x14ac:dyDescent="0.2">
      <c r="A239" s="41">
        <v>37</v>
      </c>
      <c r="B239" s="42" t="str">
        <f t="shared" si="154"/>
        <v/>
      </c>
      <c r="C239" s="41">
        <f t="shared" si="171"/>
        <v>37</v>
      </c>
      <c r="D239" s="42" t="str">
        <f t="shared" si="156"/>
        <v/>
      </c>
      <c r="E239" s="33" t="str">
        <f t="shared" si="147"/>
        <v/>
      </c>
      <c r="F239" s="34" t="str">
        <f t="shared" si="148"/>
        <v/>
      </c>
      <c r="G239" s="34" t="str">
        <f t="shared" si="149"/>
        <v/>
      </c>
      <c r="H239" s="35" t="str">
        <f t="shared" si="157"/>
        <v/>
      </c>
      <c r="I239" s="35" t="str">
        <f t="shared" si="158"/>
        <v/>
      </c>
      <c r="J239" s="35" t="str">
        <f t="shared" si="159"/>
        <v/>
      </c>
      <c r="K239" s="35" t="str">
        <f t="shared" si="160"/>
        <v/>
      </c>
      <c r="L239" s="36" t="str">
        <f t="shared" si="161"/>
        <v/>
      </c>
      <c r="M239" s="36" t="str">
        <f t="shared" si="162"/>
        <v/>
      </c>
      <c r="N239" s="37" t="str">
        <f t="shared" si="150"/>
        <v/>
      </c>
      <c r="O239" s="37" t="str">
        <f t="shared" si="151"/>
        <v/>
      </c>
      <c r="P239" s="37" t="str">
        <f t="shared" si="152"/>
        <v/>
      </c>
      <c r="Q239" s="38" t="str">
        <f t="shared" si="163"/>
        <v/>
      </c>
      <c r="R239" s="39" t="str">
        <f t="shared" si="168"/>
        <v/>
      </c>
      <c r="S239" s="38" t="str">
        <f t="shared" si="169"/>
        <v/>
      </c>
      <c r="T239" s="197" t="str">
        <f t="shared" si="164"/>
        <v/>
      </c>
      <c r="U239" s="199" t="str">
        <f t="shared" si="165"/>
        <v/>
      </c>
      <c r="V239" s="198" t="str">
        <f t="shared" si="166"/>
        <v/>
      </c>
      <c r="W239" s="198" t="str">
        <f t="shared" si="167"/>
        <v/>
      </c>
      <c r="X239" s="255" t="str">
        <f t="shared" si="170"/>
        <v/>
      </c>
      <c r="Y239" s="255" t="str" cm="1">
        <f t="array" aca="1" ref="Y239" ca="1">IF(D239="","",CELL("address",D239))</f>
        <v/>
      </c>
      <c r="Z239" s="255" t="str" cm="1">
        <f t="array" aca="1" ref="Z239" ca="1">IF(Q239="","",CELL("address",Q239))</f>
        <v/>
      </c>
      <c r="AA239" s="255" t="str" cm="1">
        <f t="array" aca="1" ref="AA239" ca="1">IF(T239="","",CELL("address",T239))</f>
        <v/>
      </c>
    </row>
    <row r="240" spans="1:27" x14ac:dyDescent="0.2">
      <c r="A240" s="41">
        <v>38</v>
      </c>
      <c r="B240" s="42" t="str">
        <f t="shared" si="154"/>
        <v/>
      </c>
      <c r="C240" s="41">
        <f t="shared" si="171"/>
        <v>38</v>
      </c>
      <c r="D240" s="42" t="str">
        <f t="shared" si="156"/>
        <v/>
      </c>
      <c r="E240" s="33" t="str">
        <f t="shared" si="147"/>
        <v/>
      </c>
      <c r="F240" s="34" t="str">
        <f t="shared" si="148"/>
        <v/>
      </c>
      <c r="G240" s="34" t="str">
        <f t="shared" si="149"/>
        <v/>
      </c>
      <c r="H240" s="35" t="str">
        <f t="shared" si="157"/>
        <v/>
      </c>
      <c r="I240" s="35" t="str">
        <f t="shared" si="158"/>
        <v/>
      </c>
      <c r="J240" s="35" t="str">
        <f t="shared" si="159"/>
        <v/>
      </c>
      <c r="K240" s="35" t="str">
        <f t="shared" si="160"/>
        <v/>
      </c>
      <c r="L240" s="36" t="str">
        <f t="shared" si="161"/>
        <v/>
      </c>
      <c r="M240" s="36" t="str">
        <f t="shared" si="162"/>
        <v/>
      </c>
      <c r="N240" s="37" t="str">
        <f t="shared" si="150"/>
        <v/>
      </c>
      <c r="O240" s="37" t="str">
        <f t="shared" si="151"/>
        <v/>
      </c>
      <c r="P240" s="37" t="str">
        <f t="shared" si="152"/>
        <v/>
      </c>
      <c r="Q240" s="38" t="str">
        <f t="shared" si="163"/>
        <v/>
      </c>
      <c r="R240" s="39" t="str">
        <f t="shared" si="168"/>
        <v/>
      </c>
      <c r="S240" s="38" t="str">
        <f t="shared" si="169"/>
        <v/>
      </c>
      <c r="T240" s="197" t="str">
        <f t="shared" si="164"/>
        <v/>
      </c>
      <c r="U240" s="199" t="str">
        <f t="shared" si="165"/>
        <v/>
      </c>
      <c r="V240" s="198" t="str">
        <f t="shared" si="166"/>
        <v/>
      </c>
      <c r="W240" s="198" t="str">
        <f t="shared" si="167"/>
        <v/>
      </c>
      <c r="X240" s="255" t="str">
        <f t="shared" si="170"/>
        <v/>
      </c>
      <c r="Y240" s="255" t="str" cm="1">
        <f t="array" aca="1" ref="Y240" ca="1">IF(D240="","",CELL("address",D240))</f>
        <v/>
      </c>
      <c r="Z240" s="255" t="str" cm="1">
        <f t="array" aca="1" ref="Z240" ca="1">IF(Q240="","",CELL("address",Q240))</f>
        <v/>
      </c>
      <c r="AA240" s="255" t="str" cm="1">
        <f t="array" aca="1" ref="AA240" ca="1">IF(T240="","",CELL("address",T240))</f>
        <v/>
      </c>
    </row>
    <row r="241" spans="1:27" x14ac:dyDescent="0.2">
      <c r="A241" s="41">
        <v>39</v>
      </c>
      <c r="B241" s="42" t="str">
        <f t="shared" si="154"/>
        <v/>
      </c>
      <c r="C241" s="41">
        <f t="shared" si="171"/>
        <v>39</v>
      </c>
      <c r="D241" s="42" t="str">
        <f t="shared" si="156"/>
        <v/>
      </c>
      <c r="E241" s="33" t="str">
        <f t="shared" si="147"/>
        <v/>
      </c>
      <c r="F241" s="34" t="str">
        <f t="shared" si="148"/>
        <v/>
      </c>
      <c r="G241" s="34" t="str">
        <f t="shared" si="149"/>
        <v/>
      </c>
      <c r="H241" s="35" t="str">
        <f t="shared" si="157"/>
        <v/>
      </c>
      <c r="I241" s="35" t="str">
        <f t="shared" si="158"/>
        <v/>
      </c>
      <c r="J241" s="35" t="str">
        <f t="shared" si="159"/>
        <v/>
      </c>
      <c r="K241" s="35" t="str">
        <f t="shared" si="160"/>
        <v/>
      </c>
      <c r="L241" s="36" t="str">
        <f t="shared" si="161"/>
        <v/>
      </c>
      <c r="M241" s="36" t="str">
        <f t="shared" si="162"/>
        <v/>
      </c>
      <c r="N241" s="37" t="str">
        <f t="shared" si="150"/>
        <v/>
      </c>
      <c r="O241" s="37" t="str">
        <f t="shared" si="151"/>
        <v/>
      </c>
      <c r="P241" s="37" t="str">
        <f t="shared" si="152"/>
        <v/>
      </c>
      <c r="Q241" s="38" t="str">
        <f t="shared" si="163"/>
        <v/>
      </c>
      <c r="R241" s="39" t="str">
        <f t="shared" si="168"/>
        <v/>
      </c>
      <c r="S241" s="38" t="str">
        <f t="shared" si="169"/>
        <v/>
      </c>
      <c r="T241" s="197" t="str">
        <f t="shared" si="164"/>
        <v/>
      </c>
      <c r="U241" s="199" t="str">
        <f t="shared" si="165"/>
        <v/>
      </c>
      <c r="V241" s="198" t="str">
        <f t="shared" si="166"/>
        <v/>
      </c>
      <c r="W241" s="198" t="str">
        <f t="shared" si="167"/>
        <v/>
      </c>
      <c r="X241" s="255" t="str">
        <f t="shared" si="170"/>
        <v/>
      </c>
      <c r="Y241" s="255" t="str" cm="1">
        <f t="array" aca="1" ref="Y241" ca="1">IF(D241="","",CELL("address",D241))</f>
        <v/>
      </c>
      <c r="Z241" s="255" t="str" cm="1">
        <f t="array" aca="1" ref="Z241" ca="1">IF(Q241="","",CELL("address",Q241))</f>
        <v/>
      </c>
      <c r="AA241" s="255" t="str" cm="1">
        <f t="array" aca="1" ref="AA241" ca="1">IF(T241="","",CELL("address",T241))</f>
        <v/>
      </c>
    </row>
    <row r="242" spans="1:27" x14ac:dyDescent="0.2">
      <c r="A242" s="41">
        <v>40</v>
      </c>
      <c r="B242" s="42" t="str">
        <f t="shared" si="154"/>
        <v/>
      </c>
      <c r="C242" s="41">
        <f t="shared" si="171"/>
        <v>40</v>
      </c>
      <c r="D242" s="42" t="str">
        <f t="shared" si="156"/>
        <v/>
      </c>
      <c r="E242" s="33" t="str">
        <f t="shared" si="147"/>
        <v/>
      </c>
      <c r="F242" s="34" t="str">
        <f t="shared" si="148"/>
        <v/>
      </c>
      <c r="G242" s="34" t="str">
        <f t="shared" si="149"/>
        <v/>
      </c>
      <c r="H242" s="35" t="str">
        <f t="shared" si="157"/>
        <v/>
      </c>
      <c r="I242" s="35" t="str">
        <f t="shared" si="158"/>
        <v/>
      </c>
      <c r="J242" s="35" t="str">
        <f t="shared" si="159"/>
        <v/>
      </c>
      <c r="K242" s="35" t="str">
        <f t="shared" si="160"/>
        <v/>
      </c>
      <c r="L242" s="36" t="str">
        <f t="shared" si="161"/>
        <v/>
      </c>
      <c r="M242" s="36" t="str">
        <f t="shared" si="162"/>
        <v/>
      </c>
      <c r="N242" s="37" t="str">
        <f t="shared" si="150"/>
        <v/>
      </c>
      <c r="O242" s="37" t="str">
        <f t="shared" si="151"/>
        <v/>
      </c>
      <c r="P242" s="37" t="str">
        <f t="shared" si="152"/>
        <v/>
      </c>
      <c r="Q242" s="38" t="str">
        <f t="shared" si="163"/>
        <v/>
      </c>
      <c r="R242" s="39" t="str">
        <f t="shared" si="168"/>
        <v/>
      </c>
      <c r="S242" s="38" t="str">
        <f t="shared" si="169"/>
        <v/>
      </c>
      <c r="T242" s="197" t="str">
        <f t="shared" si="164"/>
        <v/>
      </c>
      <c r="U242" s="199" t="str">
        <f t="shared" si="165"/>
        <v/>
      </c>
      <c r="V242" s="198" t="str">
        <f t="shared" si="166"/>
        <v/>
      </c>
      <c r="W242" s="198" t="str">
        <f t="shared" si="167"/>
        <v/>
      </c>
      <c r="X242" s="255" t="str">
        <f t="shared" si="170"/>
        <v/>
      </c>
      <c r="Y242" s="255" t="str" cm="1">
        <f t="array" aca="1" ref="Y242" ca="1">IF(D242="","",CELL("address",D242))</f>
        <v/>
      </c>
      <c r="Z242" s="255" t="str" cm="1">
        <f t="array" aca="1" ref="Z242" ca="1">IF(Q242="","",CELL("address",Q242))</f>
        <v/>
      </c>
      <c r="AA242" s="255" t="str" cm="1">
        <f t="array" aca="1" ref="AA242" ca="1">IF(T242="","",CELL("address",T242))</f>
        <v/>
      </c>
    </row>
    <row r="243" spans="1:27" x14ac:dyDescent="0.2">
      <c r="A243" s="41">
        <v>41</v>
      </c>
      <c r="B243" s="42" t="str">
        <f t="shared" si="154"/>
        <v/>
      </c>
      <c r="C243" s="41">
        <f t="shared" si="171"/>
        <v>41</v>
      </c>
      <c r="D243" s="42" t="str">
        <f t="shared" si="156"/>
        <v/>
      </c>
      <c r="E243" s="33" t="str">
        <f t="shared" si="147"/>
        <v/>
      </c>
      <c r="F243" s="34" t="str">
        <f t="shared" si="148"/>
        <v/>
      </c>
      <c r="G243" s="34" t="str">
        <f t="shared" si="149"/>
        <v/>
      </c>
      <c r="H243" s="35" t="str">
        <f t="shared" si="157"/>
        <v/>
      </c>
      <c r="I243" s="35" t="str">
        <f t="shared" si="158"/>
        <v/>
      </c>
      <c r="J243" s="35" t="str">
        <f t="shared" si="159"/>
        <v/>
      </c>
      <c r="K243" s="35" t="str">
        <f t="shared" si="160"/>
        <v/>
      </c>
      <c r="L243" s="36" t="str">
        <f t="shared" si="161"/>
        <v/>
      </c>
      <c r="M243" s="36" t="str">
        <f t="shared" si="162"/>
        <v/>
      </c>
      <c r="N243" s="37" t="str">
        <f t="shared" si="150"/>
        <v/>
      </c>
      <c r="O243" s="37" t="str">
        <f t="shared" si="151"/>
        <v/>
      </c>
      <c r="P243" s="37" t="str">
        <f t="shared" si="152"/>
        <v/>
      </c>
      <c r="Q243" s="38" t="str">
        <f t="shared" si="163"/>
        <v/>
      </c>
      <c r="R243" s="39" t="str">
        <f t="shared" si="168"/>
        <v/>
      </c>
      <c r="S243" s="38" t="str">
        <f t="shared" si="169"/>
        <v/>
      </c>
      <c r="T243" s="197" t="str">
        <f t="shared" si="164"/>
        <v/>
      </c>
      <c r="U243" s="199" t="str">
        <f t="shared" si="165"/>
        <v/>
      </c>
      <c r="V243" s="198" t="str">
        <f t="shared" si="166"/>
        <v/>
      </c>
      <c r="W243" s="198" t="str">
        <f t="shared" si="167"/>
        <v/>
      </c>
      <c r="X243" s="255" t="str">
        <f t="shared" si="170"/>
        <v/>
      </c>
      <c r="Y243" s="255" t="str" cm="1">
        <f t="array" aca="1" ref="Y243" ca="1">IF(D243="","",CELL("address",D243))</f>
        <v/>
      </c>
      <c r="Z243" s="255" t="str" cm="1">
        <f t="array" aca="1" ref="Z243" ca="1">IF(Q243="","",CELL("address",Q243))</f>
        <v/>
      </c>
      <c r="AA243" s="255" t="str" cm="1">
        <f t="array" aca="1" ref="AA243" ca="1">IF(T243="","",CELL("address",T243))</f>
        <v/>
      </c>
    </row>
    <row r="244" spans="1:27" x14ac:dyDescent="0.2">
      <c r="A244" s="41">
        <v>42</v>
      </c>
      <c r="B244" s="42" t="str">
        <f t="shared" si="154"/>
        <v/>
      </c>
      <c r="C244" s="41">
        <f t="shared" si="171"/>
        <v>42</v>
      </c>
      <c r="D244" s="42" t="str">
        <f t="shared" si="156"/>
        <v/>
      </c>
      <c r="E244" s="33" t="str">
        <f t="shared" si="147"/>
        <v/>
      </c>
      <c r="F244" s="34" t="str">
        <f t="shared" si="148"/>
        <v/>
      </c>
      <c r="G244" s="34" t="str">
        <f t="shared" si="149"/>
        <v/>
      </c>
      <c r="H244" s="35" t="str">
        <f t="shared" si="157"/>
        <v/>
      </c>
      <c r="I244" s="35" t="str">
        <f t="shared" si="158"/>
        <v/>
      </c>
      <c r="J244" s="35" t="str">
        <f t="shared" si="159"/>
        <v/>
      </c>
      <c r="K244" s="35" t="str">
        <f t="shared" si="160"/>
        <v/>
      </c>
      <c r="L244" s="36" t="str">
        <f t="shared" si="161"/>
        <v/>
      </c>
      <c r="M244" s="36" t="str">
        <f t="shared" si="162"/>
        <v/>
      </c>
      <c r="N244" s="37" t="str">
        <f t="shared" si="150"/>
        <v/>
      </c>
      <c r="O244" s="37" t="str">
        <f t="shared" si="151"/>
        <v/>
      </c>
      <c r="P244" s="37" t="str">
        <f t="shared" si="152"/>
        <v/>
      </c>
      <c r="Q244" s="38" t="str">
        <f t="shared" si="163"/>
        <v/>
      </c>
      <c r="R244" s="39" t="str">
        <f t="shared" si="168"/>
        <v/>
      </c>
      <c r="S244" s="38" t="str">
        <f t="shared" si="169"/>
        <v/>
      </c>
      <c r="T244" s="197" t="str">
        <f t="shared" si="164"/>
        <v/>
      </c>
      <c r="U244" s="199" t="str">
        <f t="shared" si="165"/>
        <v/>
      </c>
      <c r="V244" s="198" t="str">
        <f t="shared" si="166"/>
        <v/>
      </c>
      <c r="W244" s="198" t="str">
        <f t="shared" si="167"/>
        <v/>
      </c>
      <c r="X244" s="255" t="str">
        <f t="shared" si="170"/>
        <v/>
      </c>
      <c r="Y244" s="255" t="str" cm="1">
        <f t="array" aca="1" ref="Y244" ca="1">IF(D244="","",CELL("address",D244))</f>
        <v/>
      </c>
      <c r="Z244" s="255" t="str" cm="1">
        <f t="array" aca="1" ref="Z244" ca="1">IF(Q244="","",CELL("address",Q244))</f>
        <v/>
      </c>
      <c r="AA244" s="255" t="str" cm="1">
        <f t="array" aca="1" ref="AA244" ca="1">IF(T244="","",CELL("address",T244))</f>
        <v/>
      </c>
    </row>
    <row r="245" spans="1:27" x14ac:dyDescent="0.2">
      <c r="A245" s="41">
        <v>43</v>
      </c>
      <c r="B245" s="42" t="str">
        <f t="shared" si="154"/>
        <v/>
      </c>
      <c r="C245" s="41">
        <f t="shared" si="171"/>
        <v>43</v>
      </c>
      <c r="D245" s="42" t="str">
        <f t="shared" si="156"/>
        <v/>
      </c>
      <c r="E245" s="33" t="str">
        <f t="shared" si="147"/>
        <v/>
      </c>
      <c r="F245" s="34" t="str">
        <f t="shared" si="148"/>
        <v/>
      </c>
      <c r="G245" s="34" t="str">
        <f t="shared" si="149"/>
        <v/>
      </c>
      <c r="H245" s="35" t="str">
        <f t="shared" si="157"/>
        <v/>
      </c>
      <c r="I245" s="35" t="str">
        <f t="shared" si="158"/>
        <v/>
      </c>
      <c r="J245" s="35" t="str">
        <f t="shared" si="159"/>
        <v/>
      </c>
      <c r="K245" s="35" t="str">
        <f t="shared" si="160"/>
        <v/>
      </c>
      <c r="L245" s="36" t="str">
        <f t="shared" si="161"/>
        <v/>
      </c>
      <c r="M245" s="36" t="str">
        <f t="shared" si="162"/>
        <v/>
      </c>
      <c r="N245" s="37" t="str">
        <f t="shared" si="150"/>
        <v/>
      </c>
      <c r="O245" s="37" t="str">
        <f t="shared" si="151"/>
        <v/>
      </c>
      <c r="P245" s="37" t="str">
        <f t="shared" si="152"/>
        <v/>
      </c>
      <c r="Q245" s="38" t="str">
        <f t="shared" si="163"/>
        <v/>
      </c>
      <c r="R245" s="39" t="str">
        <f t="shared" si="168"/>
        <v/>
      </c>
      <c r="S245" s="38" t="str">
        <f t="shared" si="169"/>
        <v/>
      </c>
      <c r="T245" s="197" t="str">
        <f t="shared" si="164"/>
        <v/>
      </c>
      <c r="U245" s="199" t="str">
        <f t="shared" si="165"/>
        <v/>
      </c>
      <c r="V245" s="198" t="str">
        <f t="shared" si="166"/>
        <v/>
      </c>
      <c r="W245" s="198" t="str">
        <f t="shared" si="167"/>
        <v/>
      </c>
      <c r="X245" s="255" t="str">
        <f t="shared" si="170"/>
        <v/>
      </c>
      <c r="Y245" s="255" t="str" cm="1">
        <f t="array" aca="1" ref="Y245" ca="1">IF(D245="","",CELL("address",D245))</f>
        <v/>
      </c>
      <c r="Z245" s="255" t="str" cm="1">
        <f t="array" aca="1" ref="Z245" ca="1">IF(Q245="","",CELL("address",Q245))</f>
        <v/>
      </c>
      <c r="AA245" s="255" t="str" cm="1">
        <f t="array" aca="1" ref="AA245" ca="1">IF(T245="","",CELL("address",T245))</f>
        <v/>
      </c>
    </row>
    <row r="246" spans="1:27" x14ac:dyDescent="0.2">
      <c r="A246" s="41">
        <v>44</v>
      </c>
      <c r="B246" s="42" t="str">
        <f t="shared" si="154"/>
        <v/>
      </c>
      <c r="C246" s="41">
        <f t="shared" si="171"/>
        <v>44</v>
      </c>
      <c r="D246" s="42" t="str">
        <f t="shared" si="156"/>
        <v/>
      </c>
      <c r="E246" s="33" t="str">
        <f t="shared" si="147"/>
        <v/>
      </c>
      <c r="F246" s="34" t="str">
        <f t="shared" si="148"/>
        <v/>
      </c>
      <c r="G246" s="34" t="str">
        <f t="shared" si="149"/>
        <v/>
      </c>
      <c r="H246" s="35" t="str">
        <f t="shared" si="157"/>
        <v/>
      </c>
      <c r="I246" s="35" t="str">
        <f t="shared" si="158"/>
        <v/>
      </c>
      <c r="J246" s="35" t="str">
        <f t="shared" si="159"/>
        <v/>
      </c>
      <c r="K246" s="35" t="str">
        <f t="shared" si="160"/>
        <v/>
      </c>
      <c r="L246" s="36" t="str">
        <f t="shared" si="161"/>
        <v/>
      </c>
      <c r="M246" s="36" t="str">
        <f t="shared" si="162"/>
        <v/>
      </c>
      <c r="N246" s="37" t="str">
        <f t="shared" si="150"/>
        <v/>
      </c>
      <c r="O246" s="37" t="str">
        <f t="shared" si="151"/>
        <v/>
      </c>
      <c r="P246" s="37" t="str">
        <f t="shared" si="152"/>
        <v/>
      </c>
      <c r="Q246" s="38" t="str">
        <f t="shared" si="163"/>
        <v/>
      </c>
      <c r="R246" s="39" t="str">
        <f t="shared" si="168"/>
        <v/>
      </c>
      <c r="S246" s="38" t="str">
        <f t="shared" si="169"/>
        <v/>
      </c>
      <c r="T246" s="197" t="str">
        <f t="shared" si="164"/>
        <v/>
      </c>
      <c r="U246" s="199" t="str">
        <f t="shared" si="165"/>
        <v/>
      </c>
      <c r="V246" s="198" t="str">
        <f t="shared" si="166"/>
        <v/>
      </c>
      <c r="W246" s="198" t="str">
        <f t="shared" si="167"/>
        <v/>
      </c>
      <c r="X246" s="255" t="str">
        <f t="shared" si="170"/>
        <v/>
      </c>
      <c r="Y246" s="255" t="str" cm="1">
        <f t="array" aca="1" ref="Y246" ca="1">IF(D246="","",CELL("address",D246))</f>
        <v/>
      </c>
      <c r="Z246" s="255" t="str" cm="1">
        <f t="array" aca="1" ref="Z246" ca="1">IF(Q246="","",CELL("address",Q246))</f>
        <v/>
      </c>
      <c r="AA246" s="255" t="str" cm="1">
        <f t="array" aca="1" ref="AA246" ca="1">IF(T246="","",CELL("address",T246))</f>
        <v/>
      </c>
    </row>
    <row r="247" spans="1:27" ht="14.25" x14ac:dyDescent="0.2">
      <c r="A247" s="40"/>
      <c r="B247" s="40"/>
      <c r="C247" s="84" t="s">
        <v>64</v>
      </c>
      <c r="D247" s="84">
        <f>COUNT(D203:D246)</f>
        <v>31</v>
      </c>
      <c r="E247" s="85">
        <f t="shared" ref="E247:L247" si="172">SUM(E203:E246)</f>
        <v>-2500</v>
      </c>
      <c r="F247" s="86">
        <f t="shared" si="172"/>
        <v>-12.5</v>
      </c>
      <c r="G247" s="86">
        <f t="shared" si="172"/>
        <v>-0.5</v>
      </c>
      <c r="H247" s="87">
        <f>SUM(H203:H246)</f>
        <v>625</v>
      </c>
      <c r="I247" s="87">
        <f t="shared" si="172"/>
        <v>-175</v>
      </c>
      <c r="J247" s="87">
        <f t="shared" si="172"/>
        <v>-50</v>
      </c>
      <c r="K247" s="87">
        <f t="shared" si="172"/>
        <v>-11.500000000000002</v>
      </c>
      <c r="L247" s="88">
        <f t="shared" si="172"/>
        <v>-150</v>
      </c>
      <c r="M247" s="88">
        <f t="shared" ref="M247" si="173">SUM(M203:M246)</f>
        <v>-34.6</v>
      </c>
      <c r="N247" s="89">
        <f>SUM(N203:N246)</f>
        <v>2500</v>
      </c>
      <c r="O247" s="89">
        <f>SUM(O203:O246)</f>
        <v>-12.5</v>
      </c>
      <c r="P247" s="89">
        <f>SUM(P203:P246)</f>
        <v>-2.88</v>
      </c>
      <c r="Q247" s="90">
        <f>SUM(Q203:Q246)</f>
        <v>175.51999999999862</v>
      </c>
      <c r="R247" s="91">
        <f>MAX(R203:R246)</f>
        <v>1826</v>
      </c>
      <c r="S247" s="90">
        <f>SUM(S203:S246)</f>
        <v>-250.79230611223784</v>
      </c>
      <c r="T247" s="200">
        <f>SUM(T203:T246)</f>
        <v>400</v>
      </c>
      <c r="U247" s="201">
        <f t="shared" ref="U247" si="174">SUM(U203:U246)</f>
        <v>0</v>
      </c>
      <c r="V247" s="198"/>
      <c r="W247" s="198"/>
      <c r="X247" s="255"/>
      <c r="Y247" s="255"/>
      <c r="Z247" s="255"/>
      <c r="AA247" s="255"/>
    </row>
    <row r="248" spans="1:27" ht="15" x14ac:dyDescent="0.2">
      <c r="D248" s="2">
        <f>+D247-1</f>
        <v>30</v>
      </c>
      <c r="F248" s="195">
        <f>COUNTIF(F203:F246,"&lt;0")</f>
        <v>1</v>
      </c>
      <c r="J248" s="195">
        <f>COUNTIF(J203:J246,"&lt;0")</f>
        <v>10</v>
      </c>
      <c r="L248" s="195">
        <f>COUNTIF(L203:L246,"&lt;0")</f>
        <v>20</v>
      </c>
      <c r="O248" s="195">
        <f>COUNTIF(O203:O246,"&lt;0")</f>
        <v>1</v>
      </c>
      <c r="Q248" s="238">
        <f>COUNTIF(Q203:Q246,"&lt;&gt;0")-COUNTBLANK(Q203:Q246)</f>
        <v>31</v>
      </c>
      <c r="R248" s="59" t="s">
        <v>52</v>
      </c>
      <c r="S248" s="60">
        <v>3.5848563604950805E-2</v>
      </c>
      <c r="T248" s="2" t="s">
        <v>80</v>
      </c>
      <c r="W248" s="2">
        <f t="shared" ref="W248" si="175">IF(D248="","",(I248))</f>
        <v>0</v>
      </c>
    </row>
    <row r="250" spans="1:27" x14ac:dyDescent="0.2">
      <c r="P250" s="195"/>
    </row>
    <row r="251" spans="1:27" x14ac:dyDescent="0.2">
      <c r="F251" s="260"/>
    </row>
    <row r="252" spans="1:27" x14ac:dyDescent="0.2">
      <c r="F252" s="318"/>
      <c r="G252" s="319"/>
      <c r="H252" s="319"/>
    </row>
    <row r="253" spans="1:27" ht="19.5" customHeight="1" x14ac:dyDescent="0.2">
      <c r="A253" s="461" t="s">
        <v>373</v>
      </c>
      <c r="B253" s="462"/>
      <c r="F253" s="318"/>
      <c r="G253" s="469" t="s">
        <v>326</v>
      </c>
      <c r="H253" s="319"/>
      <c r="S253" s="465" t="s">
        <v>88</v>
      </c>
    </row>
    <row r="254" spans="1:27" ht="12.75" customHeight="1" x14ac:dyDescent="0.2">
      <c r="A254" s="463"/>
      <c r="B254" s="464"/>
      <c r="F254" s="318"/>
      <c r="G254" s="469"/>
      <c r="H254" s="319"/>
      <c r="S254" s="465"/>
    </row>
    <row r="255" spans="1:27" ht="19.5" x14ac:dyDescent="0.25">
      <c r="A255" s="312" t="s">
        <v>52</v>
      </c>
      <c r="B255" s="355">
        <f ca="1">ROUND(XIRR(INDIRECT(Z201):INDIRECT(Z202),INDIRECT(Y201):INDIRECT(Y202)),8)</f>
        <v>1.404671E-2</v>
      </c>
      <c r="F255" s="318"/>
      <c r="G255" s="357">
        <f ca="1">B255</f>
        <v>1.404671E-2</v>
      </c>
      <c r="H255" s="319"/>
      <c r="S255" s="259">
        <f ca="1">G255-S248</f>
        <v>-2.1801853604950804E-2</v>
      </c>
    </row>
    <row r="256" spans="1:27" x14ac:dyDescent="0.2">
      <c r="A256" s="310"/>
      <c r="B256" s="310"/>
      <c r="C256" s="77"/>
      <c r="F256" s="318"/>
      <c r="G256" s="319"/>
      <c r="H256" s="319"/>
      <c r="I256" s="219"/>
    </row>
    <row r="257" spans="1:17" x14ac:dyDescent="0.2">
      <c r="A257" s="310"/>
      <c r="B257" s="310"/>
      <c r="F257" s="318"/>
      <c r="G257" s="321"/>
      <c r="H257" s="321"/>
      <c r="I257" s="220"/>
      <c r="Q257" s="3"/>
    </row>
    <row r="258" spans="1:17" x14ac:dyDescent="0.2">
      <c r="A258" s="310"/>
      <c r="B258" s="311"/>
      <c r="F258" s="318"/>
      <c r="G258" s="322"/>
      <c r="H258" s="322"/>
    </row>
    <row r="259" spans="1:17" ht="19.5" customHeight="1" x14ac:dyDescent="0.2">
      <c r="A259" s="461" t="s">
        <v>245</v>
      </c>
      <c r="B259" s="462"/>
      <c r="F259" s="318"/>
      <c r="G259" s="470" t="s">
        <v>327</v>
      </c>
      <c r="H259" s="320"/>
    </row>
    <row r="260" spans="1:17" ht="12.75" customHeight="1" x14ac:dyDescent="0.2">
      <c r="A260" s="463"/>
      <c r="B260" s="464"/>
      <c r="F260" s="318"/>
      <c r="G260" s="471"/>
      <c r="H260" s="320"/>
    </row>
    <row r="261" spans="1:17" ht="19.5" x14ac:dyDescent="0.25">
      <c r="A261" s="312" t="s">
        <v>52</v>
      </c>
      <c r="B261" s="355">
        <f ca="1">ROUND(XIRR(INDIRECT(AA201):INDIRECT(AA202),INDIRECT(Y201):INDIRECT(Y202)),8)</f>
        <v>3.2154599999999998E-2</v>
      </c>
      <c r="F261" s="318"/>
      <c r="G261" s="356">
        <f ca="1">B261</f>
        <v>3.2154599999999998E-2</v>
      </c>
      <c r="H261" s="320"/>
    </row>
    <row r="262" spans="1:17" x14ac:dyDescent="0.2">
      <c r="A262" s="310"/>
      <c r="B262" s="310"/>
      <c r="F262" s="318"/>
      <c r="G262" s="319"/>
      <c r="H262" s="320"/>
    </row>
    <row r="263" spans="1:17" x14ac:dyDescent="0.2">
      <c r="A263" s="310"/>
      <c r="B263" s="310"/>
      <c r="F263" s="318"/>
      <c r="G263" s="319"/>
      <c r="H263" s="320"/>
    </row>
    <row r="264" spans="1:17" x14ac:dyDescent="0.2">
      <c r="A264" s="312" t="s">
        <v>262</v>
      </c>
      <c r="B264" s="313">
        <f ca="1">B255-B261</f>
        <v>-1.8107889999999998E-2</v>
      </c>
      <c r="F264" s="318"/>
      <c r="G264" s="466" t="s">
        <v>246</v>
      </c>
      <c r="H264" s="320"/>
    </row>
    <row r="265" spans="1:17" x14ac:dyDescent="0.2">
      <c r="A265" s="310"/>
      <c r="B265" s="310"/>
      <c r="F265" s="318"/>
      <c r="G265" s="466"/>
      <c r="H265" s="320"/>
    </row>
    <row r="266" spans="1:17" x14ac:dyDescent="0.2">
      <c r="A266" s="312" t="s">
        <v>263</v>
      </c>
      <c r="B266" s="314">
        <f ca="1">+B255/B261</f>
        <v>0.43684915999577045</v>
      </c>
      <c r="F266" s="318"/>
      <c r="G266" s="466"/>
      <c r="H266" s="320"/>
    </row>
    <row r="267" spans="1:17" ht="18" x14ac:dyDescent="0.2">
      <c r="A267" s="317" t="s">
        <v>246</v>
      </c>
      <c r="B267" s="316">
        <f ca="1">(1-B266)*-1</f>
        <v>-0.56315084000422955</v>
      </c>
      <c r="F267" s="318"/>
      <c r="G267" s="241">
        <f ca="1">B267</f>
        <v>-0.56315084000422955</v>
      </c>
      <c r="H267" s="320"/>
    </row>
    <row r="268" spans="1:17" x14ac:dyDescent="0.2">
      <c r="A268" s="312" t="s">
        <v>264</v>
      </c>
      <c r="B268" s="315">
        <f ca="1">+B261*B267</f>
        <v>-1.8107889999999998E-2</v>
      </c>
      <c r="F268" s="318"/>
      <c r="G268" s="218">
        <f ca="1">B268</f>
        <v>-1.8107889999999998E-2</v>
      </c>
      <c r="H268" s="320"/>
    </row>
    <row r="269" spans="1:17" x14ac:dyDescent="0.2">
      <c r="A269" s="312" t="s">
        <v>265</v>
      </c>
      <c r="B269" s="313">
        <f ca="1">+B261--B268</f>
        <v>1.404671E-2</v>
      </c>
      <c r="C269" s="2" t="str">
        <f ca="1">IF(B269=B255,"OK","Atenção")</f>
        <v>OK</v>
      </c>
      <c r="F269" s="318"/>
      <c r="G269" s="319"/>
      <c r="H269" s="320"/>
    </row>
    <row r="270" spans="1:17" x14ac:dyDescent="0.2">
      <c r="H270" s="282"/>
    </row>
    <row r="271" spans="1:17" x14ac:dyDescent="0.2">
      <c r="I271" s="58"/>
      <c r="K271" s="58"/>
    </row>
    <row r="274" spans="8:16" x14ac:dyDescent="0.2">
      <c r="H274" s="282"/>
      <c r="M274" s="282"/>
    </row>
    <row r="275" spans="8:16" x14ac:dyDescent="0.2">
      <c r="H275" s="282"/>
      <c r="J275" s="287"/>
      <c r="M275" s="282"/>
    </row>
    <row r="276" spans="8:16" x14ac:dyDescent="0.2">
      <c r="H276" s="282"/>
      <c r="J276" s="287"/>
      <c r="M276" s="282"/>
    </row>
    <row r="277" spans="8:16" x14ac:dyDescent="0.2">
      <c r="H277" s="282"/>
      <c r="J277" s="287"/>
      <c r="M277" s="282"/>
    </row>
    <row r="278" spans="8:16" x14ac:dyDescent="0.2">
      <c r="H278" s="282"/>
      <c r="J278" s="287"/>
      <c r="M278" s="282"/>
    </row>
    <row r="279" spans="8:16" x14ac:dyDescent="0.2">
      <c r="H279" s="282"/>
      <c r="J279" s="287"/>
      <c r="M279" s="282"/>
    </row>
    <row r="280" spans="8:16" x14ac:dyDescent="0.2">
      <c r="H280" s="282"/>
      <c r="J280" s="287"/>
      <c r="M280" s="282"/>
    </row>
    <row r="281" spans="8:16" x14ac:dyDescent="0.2">
      <c r="H281" s="282"/>
      <c r="J281" s="287"/>
      <c r="M281" s="282"/>
    </row>
    <row r="282" spans="8:16" x14ac:dyDescent="0.2">
      <c r="H282" s="282"/>
      <c r="J282" s="287"/>
      <c r="M282" s="282"/>
    </row>
    <row r="283" spans="8:16" x14ac:dyDescent="0.2">
      <c r="H283" s="282"/>
      <c r="J283" s="287"/>
      <c r="M283" s="282"/>
    </row>
    <row r="284" spans="8:16" x14ac:dyDescent="0.2">
      <c r="H284" s="282"/>
      <c r="J284" s="287"/>
      <c r="M284" s="282"/>
    </row>
    <row r="285" spans="8:16" x14ac:dyDescent="0.2">
      <c r="H285" s="282"/>
      <c r="J285" s="287"/>
      <c r="M285" s="282"/>
    </row>
    <row r="286" spans="8:16" x14ac:dyDescent="0.2">
      <c r="I286" s="58"/>
      <c r="K286" s="284"/>
      <c r="N286" s="58"/>
      <c r="P286" s="284"/>
    </row>
  </sheetData>
  <sheetProtection algorithmName="SHA-512" hashValue="7kUOGCk+BIAebsAmvR8CseXZXLWN3XuN4LhHsC8aNb5HaF5ofodyYw+pMvpwVGgagDFjgGvHXFekk8mXQuh7/Q==" saltValue="uTg6HqnVmr+nuNDw+zlCaA==" spinCount="100000" sheet="1" objects="1" scenarios="1"/>
  <scenarios current="0">
    <scenario name="TIR-0" count="1" user="Jorge Miguel Eliseu" comment="Created by Jorge Miguel Eliseu on 10/12/2021">
      <inputCells r="S248" val="0.0251926502736013" numFmtId="169"/>
    </scenario>
  </scenarios>
  <customSheetViews>
    <customSheetView guid="{E5DD0799-20B4-402F-85BC-F738FD6BB8CA}" scale="80" showGridLines="0">
      <selection sqref="A1:XFD1048576"/>
      <pageMargins left="0.7" right="0.7" top="0.75" bottom="0.75" header="0.3" footer="0.3"/>
    </customSheetView>
  </customSheetViews>
  <mergeCells count="46">
    <mergeCell ref="T4:T7"/>
    <mergeCell ref="U4:U7"/>
    <mergeCell ref="V4:V7"/>
    <mergeCell ref="W4:W7"/>
    <mergeCell ref="M4:M7"/>
    <mergeCell ref="N4:N7"/>
    <mergeCell ref="O4:O7"/>
    <mergeCell ref="A54:D54"/>
    <mergeCell ref="S77:X77"/>
    <mergeCell ref="A100:D100"/>
    <mergeCell ref="A77:H77"/>
    <mergeCell ref="J77:K78"/>
    <mergeCell ref="L77:N78"/>
    <mergeCell ref="S78:V78"/>
    <mergeCell ref="W78:X78"/>
    <mergeCell ref="I53:O53"/>
    <mergeCell ref="J76:Q76"/>
    <mergeCell ref="O77:Q77"/>
    <mergeCell ref="H15:J15"/>
    <mergeCell ref="H16:J16"/>
    <mergeCell ref="H18:J18"/>
    <mergeCell ref="H7:K7"/>
    <mergeCell ref="H10:J10"/>
    <mergeCell ref="H17:J17"/>
    <mergeCell ref="H8:J8"/>
    <mergeCell ref="H9:J9"/>
    <mergeCell ref="H11:J11"/>
    <mergeCell ref="H12:J12"/>
    <mergeCell ref="H13:J13"/>
    <mergeCell ref="H14:J14"/>
    <mergeCell ref="A259:B260"/>
    <mergeCell ref="S253:S254"/>
    <mergeCell ref="G264:G266"/>
    <mergeCell ref="A53:F53"/>
    <mergeCell ref="G253:G254"/>
    <mergeCell ref="A253:B254"/>
    <mergeCell ref="G259:G260"/>
    <mergeCell ref="A202:D202"/>
    <mergeCell ref="A149:CJ149"/>
    <mergeCell ref="A115:G115"/>
    <mergeCell ref="J54:L54"/>
    <mergeCell ref="M54:O54"/>
    <mergeCell ref="I54:I55"/>
    <mergeCell ref="Q53:U53"/>
    <mergeCell ref="A201:S201"/>
    <mergeCell ref="U201:W201"/>
  </mergeCells>
  <dataValidations count="8">
    <dataValidation type="custom" allowBlank="1" showInputMessage="1" showErrorMessage="1" errorTitle="Atenção" error="Valor Mínimo:     1.000,00€_x000a_Valor Máximo:     1.000.000,00€_x000a_Em multiplos de: 1.000,00€" prompt="Valor € a Investir" sqref="B35" xr:uid="{00000000-0002-0000-0100-000001000000}">
      <formula1>AND(AND(B35&gt;=B17,B35&lt;=B18),(B36-INT(B36))=0)</formula1>
    </dataValidation>
    <dataValidation type="list" allowBlank="1" showInputMessage="1" showErrorMessage="1" sqref="C23:C28" xr:uid="{53A2EDD7-6664-4C19-ABAC-76F99A1BE551}">
      <formula1>$D$55:$D$73</formula1>
    </dataValidation>
    <dataValidation type="list" allowBlank="1" showInputMessage="1" showErrorMessage="1" sqref="H7:K7" xr:uid="{97E7A986-1CC6-43BE-80A5-C51E25983051}">
      <formula1>$R$8:$R$10</formula1>
    </dataValidation>
    <dataValidation type="list" allowBlank="1" showInputMessage="1" showErrorMessage="1" sqref="B4" xr:uid="{7B869D3B-8DD5-4EB8-A3F9-1517C9A931BD}">
      <formula1>$T$8:$T$11</formula1>
    </dataValidation>
    <dataValidation type="list" allowBlank="1" showInputMessage="1" showErrorMessage="1" sqref="B22" xr:uid="{A497F1A1-908B-4A62-8092-8AB99D59085C}">
      <formula1>$XEX$2:$XEX$3</formula1>
    </dataValidation>
    <dataValidation type="list" allowBlank="1" showInputMessage="1" showErrorMessage="1" sqref="B11" xr:uid="{00000000-0002-0000-0100-000000000000}">
      <formula1>$XFA$6:$XFA$9</formula1>
    </dataValidation>
    <dataValidation type="list" allowBlank="1" showInputMessage="1" showErrorMessage="1" sqref="B10" xr:uid="{00000000-0002-0000-0100-000002000000}">
      <formula1>$XFD$6:$XFD$7</formula1>
    </dataValidation>
    <dataValidation type="list" allowBlank="1" showInputMessage="1" showErrorMessage="1" sqref="F76" xr:uid="{999F304A-5F74-46F5-8CB6-6F042BB7CD9B}">
      <formula1>$XEU$2:$XEU$3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30E3-8194-4DBB-995A-C7A19CA45517}">
  <dimension ref="A1:G38"/>
  <sheetViews>
    <sheetView showGridLines="0" zoomScale="110" zoomScaleNormal="110" workbookViewId="0">
      <selection sqref="A1:B1"/>
    </sheetView>
  </sheetViews>
  <sheetFormatPr defaultRowHeight="15" x14ac:dyDescent="0.25"/>
  <cols>
    <col min="1" max="2" width="66.7109375" customWidth="1"/>
    <col min="3" max="3" width="17.42578125" customWidth="1"/>
    <col min="4" max="4" width="10.5703125" customWidth="1"/>
    <col min="5" max="5" width="50.140625" bestFit="1" customWidth="1"/>
    <col min="7" max="7" width="10.5703125" customWidth="1"/>
  </cols>
  <sheetData>
    <row r="1" spans="1:7" ht="24" x14ac:dyDescent="0.25">
      <c r="A1" s="517" t="s">
        <v>109</v>
      </c>
      <c r="B1" s="517"/>
    </row>
    <row r="2" spans="1:7" s="121" customFormat="1" ht="20.45" customHeight="1" x14ac:dyDescent="0.25">
      <c r="A2" s="336" t="s">
        <v>110</v>
      </c>
      <c r="B2" s="275" t="s">
        <v>395</v>
      </c>
    </row>
    <row r="3" spans="1:7" s="121" customFormat="1" ht="20.45" customHeight="1" x14ac:dyDescent="0.25">
      <c r="A3" s="336" t="s">
        <v>111</v>
      </c>
      <c r="B3" s="276">
        <v>50000000</v>
      </c>
      <c r="C3" s="144"/>
      <c r="G3" s="139"/>
    </row>
    <row r="4" spans="1:7" s="121" customFormat="1" ht="20.45" customHeight="1" x14ac:dyDescent="0.25">
      <c r="A4" s="336" t="s">
        <v>134</v>
      </c>
      <c r="B4" s="334" t="s">
        <v>393</v>
      </c>
      <c r="C4" s="191"/>
    </row>
    <row r="5" spans="1:7" s="121" customFormat="1" ht="30" x14ac:dyDescent="0.25">
      <c r="A5" s="336" t="s">
        <v>127</v>
      </c>
      <c r="B5" s="277" t="s">
        <v>273</v>
      </c>
    </row>
    <row r="6" spans="1:7" s="121" customFormat="1" ht="20.45" customHeight="1" x14ac:dyDescent="0.25">
      <c r="A6" s="336" t="s">
        <v>128</v>
      </c>
      <c r="B6" s="296">
        <v>2500</v>
      </c>
      <c r="C6" s="243"/>
    </row>
    <row r="7" spans="1:7" s="121" customFormat="1" ht="20.45" customHeight="1" x14ac:dyDescent="0.25">
      <c r="A7" s="336" t="s">
        <v>133</v>
      </c>
      <c r="B7" s="295">
        <v>10</v>
      </c>
      <c r="C7" s="243"/>
    </row>
    <row r="8" spans="1:7" s="121" customFormat="1" ht="30" x14ac:dyDescent="0.25">
      <c r="A8" s="336" t="s">
        <v>129</v>
      </c>
      <c r="B8" s="277" t="s">
        <v>141</v>
      </c>
    </row>
    <row r="9" spans="1:7" s="121" customFormat="1" ht="20.45" customHeight="1" x14ac:dyDescent="0.25">
      <c r="A9" s="336" t="s">
        <v>130</v>
      </c>
      <c r="B9" s="297" t="s">
        <v>392</v>
      </c>
      <c r="C9" s="243"/>
    </row>
    <row r="10" spans="1:7" s="121" customFormat="1" ht="20.45" customHeight="1" x14ac:dyDescent="0.25">
      <c r="A10" s="336" t="s">
        <v>270</v>
      </c>
      <c r="B10" s="298" t="s">
        <v>391</v>
      </c>
    </row>
    <row r="11" spans="1:7" s="121" customFormat="1" ht="20.45" customHeight="1" x14ac:dyDescent="0.25">
      <c r="A11" s="336" t="s">
        <v>112</v>
      </c>
      <c r="B11" s="299" t="s">
        <v>390</v>
      </c>
      <c r="C11" s="243"/>
    </row>
    <row r="12" spans="1:7" s="121" customFormat="1" ht="20.45" customHeight="1" x14ac:dyDescent="0.25">
      <c r="A12" s="336" t="s">
        <v>113</v>
      </c>
      <c r="B12" s="340">
        <v>45581</v>
      </c>
    </row>
    <row r="13" spans="1:7" s="121" customFormat="1" ht="20.45" customHeight="1" x14ac:dyDescent="0.25">
      <c r="A13" s="336" t="s">
        <v>114</v>
      </c>
      <c r="B13" s="296">
        <v>250</v>
      </c>
    </row>
    <row r="14" spans="1:7" s="121" customFormat="1" ht="45" x14ac:dyDescent="0.25">
      <c r="A14" s="336" t="s">
        <v>115</v>
      </c>
      <c r="B14" s="300" t="s">
        <v>396</v>
      </c>
      <c r="C14" s="243"/>
    </row>
    <row r="15" spans="1:7" s="121" customFormat="1" ht="20.45" customHeight="1" x14ac:dyDescent="0.25">
      <c r="A15" s="336" t="s">
        <v>116</v>
      </c>
      <c r="B15" s="301">
        <v>45763</v>
      </c>
      <c r="C15" s="243"/>
    </row>
    <row r="16" spans="1:7" s="121" customFormat="1" ht="20.45" customHeight="1" x14ac:dyDescent="0.25">
      <c r="A16" s="336" t="s">
        <v>117</v>
      </c>
      <c r="B16" s="301">
        <v>45946</v>
      </c>
      <c r="C16" s="243"/>
    </row>
    <row r="17" spans="1:6" s="121" customFormat="1" ht="20.45" customHeight="1" x14ac:dyDescent="0.25">
      <c r="A17" s="336" t="s">
        <v>118</v>
      </c>
      <c r="B17" s="302">
        <f>B15</f>
        <v>45763</v>
      </c>
      <c r="C17" s="243"/>
    </row>
    <row r="18" spans="1:6" s="121" customFormat="1" ht="20.45" customHeight="1" x14ac:dyDescent="0.25">
      <c r="A18" s="336" t="s">
        <v>131</v>
      </c>
      <c r="B18" s="335">
        <v>0.05</v>
      </c>
      <c r="C18" s="341">
        <f>ROUND((B21-B12)/360,0)</f>
        <v>5</v>
      </c>
      <c r="D18" s="337"/>
      <c r="E18" s="337"/>
    </row>
    <row r="19" spans="1:6" s="121" customFormat="1" ht="20.45" customHeight="1" x14ac:dyDescent="0.25">
      <c r="A19" s="336" t="s">
        <v>119</v>
      </c>
      <c r="B19" s="303" t="s">
        <v>120</v>
      </c>
      <c r="C19" s="342" t="str">
        <f>LEFT(B19,6)</f>
        <v>30/360</v>
      </c>
      <c r="D19" s="343"/>
      <c r="E19" s="342"/>
      <c r="F19" s="243"/>
    </row>
    <row r="20" spans="1:6" s="121" customFormat="1" ht="20.45" customHeight="1" x14ac:dyDescent="0.25">
      <c r="A20" s="336" t="s">
        <v>132</v>
      </c>
      <c r="B20" s="295">
        <v>5</v>
      </c>
      <c r="C20" s="344">
        <f>INT(C18)</f>
        <v>5</v>
      </c>
      <c r="D20" s="345">
        <f>ROUND((C18-C20)*10,1)</f>
        <v>0</v>
      </c>
      <c r="E20" s="342" t="str">
        <f>IF(D20=0,(C20&amp;" anos"),(C20&amp;" anos e "&amp;D20&amp;" meses"))</f>
        <v>5 anos</v>
      </c>
      <c r="F20" s="281">
        <f>YEARFRAC(B12,B21,4)</f>
        <v>5</v>
      </c>
    </row>
    <row r="21" spans="1:6" s="121" customFormat="1" ht="20.45" customHeight="1" x14ac:dyDescent="0.25">
      <c r="A21" s="336" t="s">
        <v>121</v>
      </c>
      <c r="B21" s="340">
        <v>47407</v>
      </c>
      <c r="C21" s="346"/>
      <c r="D21" s="347"/>
      <c r="E21" s="347"/>
    </row>
    <row r="22" spans="1:6" s="121" customFormat="1" ht="20.45" customHeight="1" x14ac:dyDescent="0.25">
      <c r="A22" s="336" t="s">
        <v>122</v>
      </c>
      <c r="B22" s="279" t="s">
        <v>142</v>
      </c>
      <c r="C22" s="347"/>
      <c r="D22" s="347"/>
      <c r="E22" s="347"/>
    </row>
    <row r="23" spans="1:6" s="121" customFormat="1" ht="20.45" customHeight="1" x14ac:dyDescent="0.25">
      <c r="A23" s="336" t="s">
        <v>123</v>
      </c>
      <c r="B23" s="279" t="s">
        <v>124</v>
      </c>
      <c r="C23" s="347"/>
      <c r="D23" s="347"/>
      <c r="E23" s="347"/>
    </row>
    <row r="24" spans="1:6" s="121" customFormat="1" ht="20.45" customHeight="1" x14ac:dyDescent="0.25">
      <c r="A24" s="336" t="s">
        <v>125</v>
      </c>
      <c r="B24" s="279" t="s">
        <v>183</v>
      </c>
      <c r="C24" s="348"/>
      <c r="D24" s="347"/>
      <c r="E24" s="347"/>
    </row>
    <row r="25" spans="1:6" s="121" customFormat="1" ht="20.45" customHeight="1" x14ac:dyDescent="0.25">
      <c r="A25" s="336" t="s">
        <v>140</v>
      </c>
      <c r="B25" s="340">
        <v>45565</v>
      </c>
      <c r="C25" s="349">
        <f>B25</f>
        <v>45565</v>
      </c>
      <c r="D25" s="342" t="str">
        <f>TEXT(C25,"dd/mm/aaaa")</f>
        <v>30/09/2024</v>
      </c>
      <c r="E25" s="342"/>
    </row>
    <row r="26" spans="1:6" s="121" customFormat="1" ht="20.45" customHeight="1" x14ac:dyDescent="0.25">
      <c r="A26" s="336" t="s">
        <v>145</v>
      </c>
      <c r="B26" s="304">
        <v>45574</v>
      </c>
      <c r="C26" s="349">
        <f>B26</f>
        <v>45574</v>
      </c>
      <c r="D26" s="342" t="str">
        <f>TEXT(C26,"dd/mm/aaaa")</f>
        <v>09/10/2024</v>
      </c>
      <c r="E26" s="342"/>
      <c r="F26" s="243"/>
    </row>
    <row r="27" spans="1:6" s="121" customFormat="1" ht="20.45" customHeight="1" x14ac:dyDescent="0.25">
      <c r="A27" s="336" t="s">
        <v>139</v>
      </c>
      <c r="B27" s="304">
        <v>45576</v>
      </c>
      <c r="C27" s="349">
        <f>B27</f>
        <v>45576</v>
      </c>
      <c r="D27" s="342" t="str">
        <f>TEXT(C27,"dd/mm/aaaa")</f>
        <v>11/10/2024</v>
      </c>
      <c r="E27" s="342"/>
      <c r="F27" s="243"/>
    </row>
    <row r="28" spans="1:6" s="121" customFormat="1" ht="20.45" customHeight="1" x14ac:dyDescent="0.25">
      <c r="A28" s="336" t="s">
        <v>272</v>
      </c>
      <c r="B28" s="340">
        <v>45576</v>
      </c>
      <c r="C28" s="349">
        <f>B28</f>
        <v>45576</v>
      </c>
      <c r="D28" s="342" t="str">
        <f>TEXT(C28,"dd/mm/aaaa")</f>
        <v>11/10/2024</v>
      </c>
      <c r="E28" s="342" t="str">
        <f>"08:30h do dia "&amp;D25&amp;" ás 15:00h do dia "&amp;D28</f>
        <v>08:30h do dia 30/09/2024 ás 15:00h do dia 11/10/2024</v>
      </c>
    </row>
    <row r="29" spans="1:6" s="121" customFormat="1" ht="20.45" customHeight="1" x14ac:dyDescent="0.25">
      <c r="A29" s="336" t="s">
        <v>271</v>
      </c>
      <c r="B29" s="278">
        <v>45579</v>
      </c>
      <c r="C29" s="231"/>
    </row>
    <row r="30" spans="1:6" s="121" customFormat="1" ht="20.45" customHeight="1" x14ac:dyDescent="0.25">
      <c r="A30" s="336" t="s">
        <v>362</v>
      </c>
      <c r="B30" s="278">
        <v>45581</v>
      </c>
      <c r="C30" s="231"/>
    </row>
    <row r="31" spans="1:6" s="121" customFormat="1" ht="15.75" x14ac:dyDescent="0.25">
      <c r="A31" s="336" t="s">
        <v>126</v>
      </c>
      <c r="B31" s="278">
        <f>B30</f>
        <v>45581</v>
      </c>
      <c r="C31" s="231"/>
    </row>
    <row r="32" spans="1:6" s="121" customFormat="1" ht="20.45" customHeight="1" x14ac:dyDescent="0.25">
      <c r="A32" s="337"/>
      <c r="B32" s="242"/>
    </row>
    <row r="33" spans="1:3" s="121" customFormat="1" ht="20.45" customHeight="1" x14ac:dyDescent="0.25">
      <c r="A33" s="336" t="s">
        <v>346</v>
      </c>
      <c r="B33" s="304" t="s">
        <v>397</v>
      </c>
    </row>
    <row r="34" spans="1:3" s="121" customFormat="1" ht="20.45" customHeight="1" x14ac:dyDescent="0.25">
      <c r="A34" s="337"/>
      <c r="B34" s="242"/>
    </row>
    <row r="35" spans="1:3" ht="18.75" x14ac:dyDescent="0.25">
      <c r="A35" s="336" t="s">
        <v>311</v>
      </c>
      <c r="B35" s="335">
        <v>0.02</v>
      </c>
      <c r="C35" s="331">
        <f>+B35*0.75</f>
        <v>1.4999999999999999E-2</v>
      </c>
    </row>
    <row r="36" spans="1:3" ht="18.75" x14ac:dyDescent="0.25">
      <c r="A36" s="336" t="s">
        <v>310</v>
      </c>
      <c r="B36" s="335">
        <v>2.2499999999999999E-2</v>
      </c>
      <c r="C36" s="331">
        <f>+B36*0.75</f>
        <v>1.6875000000000001E-2</v>
      </c>
    </row>
    <row r="37" spans="1:3" x14ac:dyDescent="0.25">
      <c r="A37" s="338"/>
    </row>
    <row r="38" spans="1:3" ht="18.75" x14ac:dyDescent="0.25">
      <c r="A38" s="339" t="s">
        <v>368</v>
      </c>
      <c r="B38" s="294" t="s">
        <v>394</v>
      </c>
    </row>
  </sheetData>
  <sheetProtection algorithmName="SHA-512" hashValue="+qajSWiRoqzqGCY4Z5YfskG9WTlF/Sq9wJ6e4D52nS0NIAMPXfNFk/QD8/bR5etG6zC+BOHGDCuftsvirySKJw==" saltValue="Cv1tPWjwHS9a1crGNt48fg==" spinCount="100000" sheet="1" objects="1" scenarios="1"/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D3CC-F8C1-46AA-ADF3-679F87395D11}">
  <sheetPr>
    <pageSetUpPr fitToPage="1"/>
  </sheetPr>
  <dimension ref="B1:U21"/>
  <sheetViews>
    <sheetView showGridLines="0" zoomScale="80" zoomScaleNormal="80" workbookViewId="0">
      <selection activeCell="B1" sqref="B1:S1"/>
    </sheetView>
  </sheetViews>
  <sheetFormatPr defaultColWidth="6" defaultRowHeight="11.25" x14ac:dyDescent="0.2"/>
  <cols>
    <col min="1" max="1" width="6" style="133"/>
    <col min="2" max="2" width="14.5703125" style="133" customWidth="1"/>
    <col min="3" max="10" width="10.7109375" style="133" customWidth="1"/>
    <col min="11" max="11" width="13.28515625" style="133" customWidth="1"/>
    <col min="12" max="12" width="10.7109375" style="133" customWidth="1"/>
    <col min="13" max="14" width="12.7109375" style="133" customWidth="1"/>
    <col min="15" max="15" width="10.7109375" style="133" customWidth="1"/>
    <col min="16" max="16" width="12.140625" style="133" customWidth="1"/>
    <col min="17" max="17" width="13.85546875" style="133" customWidth="1"/>
    <col min="18" max="18" width="13.140625" style="133" customWidth="1"/>
    <col min="19" max="20" width="10.7109375" style="133" customWidth="1"/>
    <col min="21" max="21" width="13.5703125" style="133" customWidth="1"/>
    <col min="22" max="22" width="9.140625" style="133" bestFit="1" customWidth="1"/>
    <col min="23" max="28" width="6" style="133"/>
    <col min="29" max="29" width="6" style="133" customWidth="1"/>
    <col min="30" max="220" width="6" style="133"/>
    <col min="221" max="227" width="10.7109375" style="133" customWidth="1"/>
    <col min="228" max="228" width="11.28515625" style="133" customWidth="1"/>
    <col min="229" max="240" width="10.7109375" style="133" customWidth="1"/>
    <col min="241" max="241" width="13.42578125" style="133" customWidth="1"/>
    <col min="242" max="242" width="12.85546875" style="133" customWidth="1"/>
    <col min="243" max="244" width="12.28515625" style="133" customWidth="1"/>
    <col min="245" max="245" width="11.28515625" style="133" bestFit="1" customWidth="1"/>
    <col min="246" max="247" width="10.7109375" style="133" customWidth="1"/>
    <col min="248" max="248" width="13.28515625" style="133" customWidth="1"/>
    <col min="249" max="249" width="10.7109375" style="133" customWidth="1"/>
    <col min="250" max="250" width="12.28515625" style="133" customWidth="1"/>
    <col min="251" max="251" width="10.7109375" style="133" customWidth="1"/>
    <col min="252" max="256" width="10.5703125" style="133" customWidth="1"/>
    <col min="257" max="257" width="11.5703125" style="133" customWidth="1"/>
    <col min="258" max="258" width="10.5703125" style="133" customWidth="1"/>
    <col min="259" max="259" width="11.28515625" style="133" customWidth="1"/>
    <col min="260" max="476" width="6" style="133"/>
    <col min="477" max="483" width="10.7109375" style="133" customWidth="1"/>
    <col min="484" max="484" width="11.28515625" style="133" customWidth="1"/>
    <col min="485" max="496" width="10.7109375" style="133" customWidth="1"/>
    <col min="497" max="497" width="13.42578125" style="133" customWidth="1"/>
    <col min="498" max="498" width="12.85546875" style="133" customWidth="1"/>
    <col min="499" max="500" width="12.28515625" style="133" customWidth="1"/>
    <col min="501" max="501" width="11.28515625" style="133" bestFit="1" customWidth="1"/>
    <col min="502" max="503" width="10.7109375" style="133" customWidth="1"/>
    <col min="504" max="504" width="13.28515625" style="133" customWidth="1"/>
    <col min="505" max="505" width="10.7109375" style="133" customWidth="1"/>
    <col min="506" max="506" width="12.28515625" style="133" customWidth="1"/>
    <col min="507" max="507" width="10.7109375" style="133" customWidth="1"/>
    <col min="508" max="512" width="10.5703125" style="133" customWidth="1"/>
    <col min="513" max="513" width="11.5703125" style="133" customWidth="1"/>
    <col min="514" max="514" width="10.5703125" style="133" customWidth="1"/>
    <col min="515" max="515" width="11.28515625" style="133" customWidth="1"/>
    <col min="516" max="732" width="6" style="133"/>
    <col min="733" max="739" width="10.7109375" style="133" customWidth="1"/>
    <col min="740" max="740" width="11.28515625" style="133" customWidth="1"/>
    <col min="741" max="752" width="10.7109375" style="133" customWidth="1"/>
    <col min="753" max="753" width="13.42578125" style="133" customWidth="1"/>
    <col min="754" max="754" width="12.85546875" style="133" customWidth="1"/>
    <col min="755" max="756" width="12.28515625" style="133" customWidth="1"/>
    <col min="757" max="757" width="11.28515625" style="133" bestFit="1" customWidth="1"/>
    <col min="758" max="759" width="10.7109375" style="133" customWidth="1"/>
    <col min="760" max="760" width="13.28515625" style="133" customWidth="1"/>
    <col min="761" max="761" width="10.7109375" style="133" customWidth="1"/>
    <col min="762" max="762" width="12.28515625" style="133" customWidth="1"/>
    <col min="763" max="763" width="10.7109375" style="133" customWidth="1"/>
    <col min="764" max="768" width="10.5703125" style="133" customWidth="1"/>
    <col min="769" max="769" width="11.5703125" style="133" customWidth="1"/>
    <col min="770" max="770" width="10.5703125" style="133" customWidth="1"/>
    <col min="771" max="771" width="11.28515625" style="133" customWidth="1"/>
    <col min="772" max="988" width="6" style="133"/>
    <col min="989" max="995" width="10.7109375" style="133" customWidth="1"/>
    <col min="996" max="996" width="11.28515625" style="133" customWidth="1"/>
    <col min="997" max="1008" width="10.7109375" style="133" customWidth="1"/>
    <col min="1009" max="1009" width="13.42578125" style="133" customWidth="1"/>
    <col min="1010" max="1010" width="12.85546875" style="133" customWidth="1"/>
    <col min="1011" max="1012" width="12.28515625" style="133" customWidth="1"/>
    <col min="1013" max="1013" width="11.28515625" style="133" bestFit="1" customWidth="1"/>
    <col min="1014" max="1015" width="10.7109375" style="133" customWidth="1"/>
    <col min="1016" max="1016" width="13.28515625" style="133" customWidth="1"/>
    <col min="1017" max="1017" width="10.7109375" style="133" customWidth="1"/>
    <col min="1018" max="1018" width="12.28515625" style="133" customWidth="1"/>
    <col min="1019" max="1019" width="10.7109375" style="133" customWidth="1"/>
    <col min="1020" max="1024" width="10.5703125" style="133" customWidth="1"/>
    <col min="1025" max="1025" width="11.5703125" style="133" customWidth="1"/>
    <col min="1026" max="1026" width="10.5703125" style="133" customWidth="1"/>
    <col min="1027" max="1027" width="11.28515625" style="133" customWidth="1"/>
    <col min="1028" max="1244" width="6" style="133"/>
    <col min="1245" max="1251" width="10.7109375" style="133" customWidth="1"/>
    <col min="1252" max="1252" width="11.28515625" style="133" customWidth="1"/>
    <col min="1253" max="1264" width="10.7109375" style="133" customWidth="1"/>
    <col min="1265" max="1265" width="13.42578125" style="133" customWidth="1"/>
    <col min="1266" max="1266" width="12.85546875" style="133" customWidth="1"/>
    <col min="1267" max="1268" width="12.28515625" style="133" customWidth="1"/>
    <col min="1269" max="1269" width="11.28515625" style="133" bestFit="1" customWidth="1"/>
    <col min="1270" max="1271" width="10.7109375" style="133" customWidth="1"/>
    <col min="1272" max="1272" width="13.28515625" style="133" customWidth="1"/>
    <col min="1273" max="1273" width="10.7109375" style="133" customWidth="1"/>
    <col min="1274" max="1274" width="12.28515625" style="133" customWidth="1"/>
    <col min="1275" max="1275" width="10.7109375" style="133" customWidth="1"/>
    <col min="1276" max="1280" width="10.5703125" style="133" customWidth="1"/>
    <col min="1281" max="1281" width="11.5703125" style="133" customWidth="1"/>
    <col min="1282" max="1282" width="10.5703125" style="133" customWidth="1"/>
    <col min="1283" max="1283" width="11.28515625" style="133" customWidth="1"/>
    <col min="1284" max="1500" width="6" style="133"/>
    <col min="1501" max="1507" width="10.7109375" style="133" customWidth="1"/>
    <col min="1508" max="1508" width="11.28515625" style="133" customWidth="1"/>
    <col min="1509" max="1520" width="10.7109375" style="133" customWidth="1"/>
    <col min="1521" max="1521" width="13.42578125" style="133" customWidth="1"/>
    <col min="1522" max="1522" width="12.85546875" style="133" customWidth="1"/>
    <col min="1523" max="1524" width="12.28515625" style="133" customWidth="1"/>
    <col min="1525" max="1525" width="11.28515625" style="133" bestFit="1" customWidth="1"/>
    <col min="1526" max="1527" width="10.7109375" style="133" customWidth="1"/>
    <col min="1528" max="1528" width="13.28515625" style="133" customWidth="1"/>
    <col min="1529" max="1529" width="10.7109375" style="133" customWidth="1"/>
    <col min="1530" max="1530" width="12.28515625" style="133" customWidth="1"/>
    <col min="1531" max="1531" width="10.7109375" style="133" customWidth="1"/>
    <col min="1532" max="1536" width="10.5703125" style="133" customWidth="1"/>
    <col min="1537" max="1537" width="11.5703125" style="133" customWidth="1"/>
    <col min="1538" max="1538" width="10.5703125" style="133" customWidth="1"/>
    <col min="1539" max="1539" width="11.28515625" style="133" customWidth="1"/>
    <col min="1540" max="1756" width="6" style="133"/>
    <col min="1757" max="1763" width="10.7109375" style="133" customWidth="1"/>
    <col min="1764" max="1764" width="11.28515625" style="133" customWidth="1"/>
    <col min="1765" max="1776" width="10.7109375" style="133" customWidth="1"/>
    <col min="1777" max="1777" width="13.42578125" style="133" customWidth="1"/>
    <col min="1778" max="1778" width="12.85546875" style="133" customWidth="1"/>
    <col min="1779" max="1780" width="12.28515625" style="133" customWidth="1"/>
    <col min="1781" max="1781" width="11.28515625" style="133" bestFit="1" customWidth="1"/>
    <col min="1782" max="1783" width="10.7109375" style="133" customWidth="1"/>
    <col min="1784" max="1784" width="13.28515625" style="133" customWidth="1"/>
    <col min="1785" max="1785" width="10.7109375" style="133" customWidth="1"/>
    <col min="1786" max="1786" width="12.28515625" style="133" customWidth="1"/>
    <col min="1787" max="1787" width="10.7109375" style="133" customWidth="1"/>
    <col min="1788" max="1792" width="10.5703125" style="133" customWidth="1"/>
    <col min="1793" max="1793" width="11.5703125" style="133" customWidth="1"/>
    <col min="1794" max="1794" width="10.5703125" style="133" customWidth="1"/>
    <col min="1795" max="1795" width="11.28515625" style="133" customWidth="1"/>
    <col min="1796" max="2012" width="6" style="133"/>
    <col min="2013" max="2019" width="10.7109375" style="133" customWidth="1"/>
    <col min="2020" max="2020" width="11.28515625" style="133" customWidth="1"/>
    <col min="2021" max="2032" width="10.7109375" style="133" customWidth="1"/>
    <col min="2033" max="2033" width="13.42578125" style="133" customWidth="1"/>
    <col min="2034" max="2034" width="12.85546875" style="133" customWidth="1"/>
    <col min="2035" max="2036" width="12.28515625" style="133" customWidth="1"/>
    <col min="2037" max="2037" width="11.28515625" style="133" bestFit="1" customWidth="1"/>
    <col min="2038" max="2039" width="10.7109375" style="133" customWidth="1"/>
    <col min="2040" max="2040" width="13.28515625" style="133" customWidth="1"/>
    <col min="2041" max="2041" width="10.7109375" style="133" customWidth="1"/>
    <col min="2042" max="2042" width="12.28515625" style="133" customWidth="1"/>
    <col min="2043" max="2043" width="10.7109375" style="133" customWidth="1"/>
    <col min="2044" max="2048" width="10.5703125" style="133" customWidth="1"/>
    <col min="2049" max="2049" width="11.5703125" style="133" customWidth="1"/>
    <col min="2050" max="2050" width="10.5703125" style="133" customWidth="1"/>
    <col min="2051" max="2051" width="11.28515625" style="133" customWidth="1"/>
    <col min="2052" max="2268" width="6" style="133"/>
    <col min="2269" max="2275" width="10.7109375" style="133" customWidth="1"/>
    <col min="2276" max="2276" width="11.28515625" style="133" customWidth="1"/>
    <col min="2277" max="2288" width="10.7109375" style="133" customWidth="1"/>
    <col min="2289" max="2289" width="13.42578125" style="133" customWidth="1"/>
    <col min="2290" max="2290" width="12.85546875" style="133" customWidth="1"/>
    <col min="2291" max="2292" width="12.28515625" style="133" customWidth="1"/>
    <col min="2293" max="2293" width="11.28515625" style="133" bestFit="1" customWidth="1"/>
    <col min="2294" max="2295" width="10.7109375" style="133" customWidth="1"/>
    <col min="2296" max="2296" width="13.28515625" style="133" customWidth="1"/>
    <col min="2297" max="2297" width="10.7109375" style="133" customWidth="1"/>
    <col min="2298" max="2298" width="12.28515625" style="133" customWidth="1"/>
    <col min="2299" max="2299" width="10.7109375" style="133" customWidth="1"/>
    <col min="2300" max="2304" width="10.5703125" style="133" customWidth="1"/>
    <col min="2305" max="2305" width="11.5703125" style="133" customWidth="1"/>
    <col min="2306" max="2306" width="10.5703125" style="133" customWidth="1"/>
    <col min="2307" max="2307" width="11.28515625" style="133" customWidth="1"/>
    <col min="2308" max="2524" width="6" style="133"/>
    <col min="2525" max="2531" width="10.7109375" style="133" customWidth="1"/>
    <col min="2532" max="2532" width="11.28515625" style="133" customWidth="1"/>
    <col min="2533" max="2544" width="10.7109375" style="133" customWidth="1"/>
    <col min="2545" max="2545" width="13.42578125" style="133" customWidth="1"/>
    <col min="2546" max="2546" width="12.85546875" style="133" customWidth="1"/>
    <col min="2547" max="2548" width="12.28515625" style="133" customWidth="1"/>
    <col min="2549" max="2549" width="11.28515625" style="133" bestFit="1" customWidth="1"/>
    <col min="2550" max="2551" width="10.7109375" style="133" customWidth="1"/>
    <col min="2552" max="2552" width="13.28515625" style="133" customWidth="1"/>
    <col min="2553" max="2553" width="10.7109375" style="133" customWidth="1"/>
    <col min="2554" max="2554" width="12.28515625" style="133" customWidth="1"/>
    <col min="2555" max="2555" width="10.7109375" style="133" customWidth="1"/>
    <col min="2556" max="2560" width="10.5703125" style="133" customWidth="1"/>
    <col min="2561" max="2561" width="11.5703125" style="133" customWidth="1"/>
    <col min="2562" max="2562" width="10.5703125" style="133" customWidth="1"/>
    <col min="2563" max="2563" width="11.28515625" style="133" customWidth="1"/>
    <col min="2564" max="2780" width="6" style="133"/>
    <col min="2781" max="2787" width="10.7109375" style="133" customWidth="1"/>
    <col min="2788" max="2788" width="11.28515625" style="133" customWidth="1"/>
    <col min="2789" max="2800" width="10.7109375" style="133" customWidth="1"/>
    <col min="2801" max="2801" width="13.42578125" style="133" customWidth="1"/>
    <col min="2802" max="2802" width="12.85546875" style="133" customWidth="1"/>
    <col min="2803" max="2804" width="12.28515625" style="133" customWidth="1"/>
    <col min="2805" max="2805" width="11.28515625" style="133" bestFit="1" customWidth="1"/>
    <col min="2806" max="2807" width="10.7109375" style="133" customWidth="1"/>
    <col min="2808" max="2808" width="13.28515625" style="133" customWidth="1"/>
    <col min="2809" max="2809" width="10.7109375" style="133" customWidth="1"/>
    <col min="2810" max="2810" width="12.28515625" style="133" customWidth="1"/>
    <col min="2811" max="2811" width="10.7109375" style="133" customWidth="1"/>
    <col min="2812" max="2816" width="10.5703125" style="133" customWidth="1"/>
    <col min="2817" max="2817" width="11.5703125" style="133" customWidth="1"/>
    <col min="2818" max="2818" width="10.5703125" style="133" customWidth="1"/>
    <col min="2819" max="2819" width="11.28515625" style="133" customWidth="1"/>
    <col min="2820" max="3036" width="6" style="133"/>
    <col min="3037" max="3043" width="10.7109375" style="133" customWidth="1"/>
    <col min="3044" max="3044" width="11.28515625" style="133" customWidth="1"/>
    <col min="3045" max="3056" width="10.7109375" style="133" customWidth="1"/>
    <col min="3057" max="3057" width="13.42578125" style="133" customWidth="1"/>
    <col min="3058" max="3058" width="12.85546875" style="133" customWidth="1"/>
    <col min="3059" max="3060" width="12.28515625" style="133" customWidth="1"/>
    <col min="3061" max="3061" width="11.28515625" style="133" bestFit="1" customWidth="1"/>
    <col min="3062" max="3063" width="10.7109375" style="133" customWidth="1"/>
    <col min="3064" max="3064" width="13.28515625" style="133" customWidth="1"/>
    <col min="3065" max="3065" width="10.7109375" style="133" customWidth="1"/>
    <col min="3066" max="3066" width="12.28515625" style="133" customWidth="1"/>
    <col min="3067" max="3067" width="10.7109375" style="133" customWidth="1"/>
    <col min="3068" max="3072" width="10.5703125" style="133" customWidth="1"/>
    <col min="3073" max="3073" width="11.5703125" style="133" customWidth="1"/>
    <col min="3074" max="3074" width="10.5703125" style="133" customWidth="1"/>
    <col min="3075" max="3075" width="11.28515625" style="133" customWidth="1"/>
    <col min="3076" max="3292" width="6" style="133"/>
    <col min="3293" max="3299" width="10.7109375" style="133" customWidth="1"/>
    <col min="3300" max="3300" width="11.28515625" style="133" customWidth="1"/>
    <col min="3301" max="3312" width="10.7109375" style="133" customWidth="1"/>
    <col min="3313" max="3313" width="13.42578125" style="133" customWidth="1"/>
    <col min="3314" max="3314" width="12.85546875" style="133" customWidth="1"/>
    <col min="3315" max="3316" width="12.28515625" style="133" customWidth="1"/>
    <col min="3317" max="3317" width="11.28515625" style="133" bestFit="1" customWidth="1"/>
    <col min="3318" max="3319" width="10.7109375" style="133" customWidth="1"/>
    <col min="3320" max="3320" width="13.28515625" style="133" customWidth="1"/>
    <col min="3321" max="3321" width="10.7109375" style="133" customWidth="1"/>
    <col min="3322" max="3322" width="12.28515625" style="133" customWidth="1"/>
    <col min="3323" max="3323" width="10.7109375" style="133" customWidth="1"/>
    <col min="3324" max="3328" width="10.5703125" style="133" customWidth="1"/>
    <col min="3329" max="3329" width="11.5703125" style="133" customWidth="1"/>
    <col min="3330" max="3330" width="10.5703125" style="133" customWidth="1"/>
    <col min="3331" max="3331" width="11.28515625" style="133" customWidth="1"/>
    <col min="3332" max="3548" width="6" style="133"/>
    <col min="3549" max="3555" width="10.7109375" style="133" customWidth="1"/>
    <col min="3556" max="3556" width="11.28515625" style="133" customWidth="1"/>
    <col min="3557" max="3568" width="10.7109375" style="133" customWidth="1"/>
    <col min="3569" max="3569" width="13.42578125" style="133" customWidth="1"/>
    <col min="3570" max="3570" width="12.85546875" style="133" customWidth="1"/>
    <col min="3571" max="3572" width="12.28515625" style="133" customWidth="1"/>
    <col min="3573" max="3573" width="11.28515625" style="133" bestFit="1" customWidth="1"/>
    <col min="3574" max="3575" width="10.7109375" style="133" customWidth="1"/>
    <col min="3576" max="3576" width="13.28515625" style="133" customWidth="1"/>
    <col min="3577" max="3577" width="10.7109375" style="133" customWidth="1"/>
    <col min="3578" max="3578" width="12.28515625" style="133" customWidth="1"/>
    <col min="3579" max="3579" width="10.7109375" style="133" customWidth="1"/>
    <col min="3580" max="3584" width="10.5703125" style="133" customWidth="1"/>
    <col min="3585" max="3585" width="11.5703125" style="133" customWidth="1"/>
    <col min="3586" max="3586" width="10.5703125" style="133" customWidth="1"/>
    <col min="3587" max="3587" width="11.28515625" style="133" customWidth="1"/>
    <col min="3588" max="3804" width="6" style="133"/>
    <col min="3805" max="3811" width="10.7109375" style="133" customWidth="1"/>
    <col min="3812" max="3812" width="11.28515625" style="133" customWidth="1"/>
    <col min="3813" max="3824" width="10.7109375" style="133" customWidth="1"/>
    <col min="3825" max="3825" width="13.42578125" style="133" customWidth="1"/>
    <col min="3826" max="3826" width="12.85546875" style="133" customWidth="1"/>
    <col min="3827" max="3828" width="12.28515625" style="133" customWidth="1"/>
    <col min="3829" max="3829" width="11.28515625" style="133" bestFit="1" customWidth="1"/>
    <col min="3830" max="3831" width="10.7109375" style="133" customWidth="1"/>
    <col min="3832" max="3832" width="13.28515625" style="133" customWidth="1"/>
    <col min="3833" max="3833" width="10.7109375" style="133" customWidth="1"/>
    <col min="3834" max="3834" width="12.28515625" style="133" customWidth="1"/>
    <col min="3835" max="3835" width="10.7109375" style="133" customWidth="1"/>
    <col min="3836" max="3840" width="10.5703125" style="133" customWidth="1"/>
    <col min="3841" max="3841" width="11.5703125" style="133" customWidth="1"/>
    <col min="3842" max="3842" width="10.5703125" style="133" customWidth="1"/>
    <col min="3843" max="3843" width="11.28515625" style="133" customWidth="1"/>
    <col min="3844" max="4060" width="6" style="133"/>
    <col min="4061" max="4067" width="10.7109375" style="133" customWidth="1"/>
    <col min="4068" max="4068" width="11.28515625" style="133" customWidth="1"/>
    <col min="4069" max="4080" width="10.7109375" style="133" customWidth="1"/>
    <col min="4081" max="4081" width="13.42578125" style="133" customWidth="1"/>
    <col min="4082" max="4082" width="12.85546875" style="133" customWidth="1"/>
    <col min="4083" max="4084" width="12.28515625" style="133" customWidth="1"/>
    <col min="4085" max="4085" width="11.28515625" style="133" bestFit="1" customWidth="1"/>
    <col min="4086" max="4087" width="10.7109375" style="133" customWidth="1"/>
    <col min="4088" max="4088" width="13.28515625" style="133" customWidth="1"/>
    <col min="4089" max="4089" width="10.7109375" style="133" customWidth="1"/>
    <col min="4090" max="4090" width="12.28515625" style="133" customWidth="1"/>
    <col min="4091" max="4091" width="10.7109375" style="133" customWidth="1"/>
    <col min="4092" max="4096" width="10.5703125" style="133" customWidth="1"/>
    <col min="4097" max="4097" width="11.5703125" style="133" customWidth="1"/>
    <col min="4098" max="4098" width="10.5703125" style="133" customWidth="1"/>
    <col min="4099" max="4099" width="11.28515625" style="133" customWidth="1"/>
    <col min="4100" max="4316" width="6" style="133"/>
    <col min="4317" max="4323" width="10.7109375" style="133" customWidth="1"/>
    <col min="4324" max="4324" width="11.28515625" style="133" customWidth="1"/>
    <col min="4325" max="4336" width="10.7109375" style="133" customWidth="1"/>
    <col min="4337" max="4337" width="13.42578125" style="133" customWidth="1"/>
    <col min="4338" max="4338" width="12.85546875" style="133" customWidth="1"/>
    <col min="4339" max="4340" width="12.28515625" style="133" customWidth="1"/>
    <col min="4341" max="4341" width="11.28515625" style="133" bestFit="1" customWidth="1"/>
    <col min="4342" max="4343" width="10.7109375" style="133" customWidth="1"/>
    <col min="4344" max="4344" width="13.28515625" style="133" customWidth="1"/>
    <col min="4345" max="4345" width="10.7109375" style="133" customWidth="1"/>
    <col min="4346" max="4346" width="12.28515625" style="133" customWidth="1"/>
    <col min="4347" max="4347" width="10.7109375" style="133" customWidth="1"/>
    <col min="4348" max="4352" width="10.5703125" style="133" customWidth="1"/>
    <col min="4353" max="4353" width="11.5703125" style="133" customWidth="1"/>
    <col min="4354" max="4354" width="10.5703125" style="133" customWidth="1"/>
    <col min="4355" max="4355" width="11.28515625" style="133" customWidth="1"/>
    <col min="4356" max="4572" width="6" style="133"/>
    <col min="4573" max="4579" width="10.7109375" style="133" customWidth="1"/>
    <col min="4580" max="4580" width="11.28515625" style="133" customWidth="1"/>
    <col min="4581" max="4592" width="10.7109375" style="133" customWidth="1"/>
    <col min="4593" max="4593" width="13.42578125" style="133" customWidth="1"/>
    <col min="4594" max="4594" width="12.85546875" style="133" customWidth="1"/>
    <col min="4595" max="4596" width="12.28515625" style="133" customWidth="1"/>
    <col min="4597" max="4597" width="11.28515625" style="133" bestFit="1" customWidth="1"/>
    <col min="4598" max="4599" width="10.7109375" style="133" customWidth="1"/>
    <col min="4600" max="4600" width="13.28515625" style="133" customWidth="1"/>
    <col min="4601" max="4601" width="10.7109375" style="133" customWidth="1"/>
    <col min="4602" max="4602" width="12.28515625" style="133" customWidth="1"/>
    <col min="4603" max="4603" width="10.7109375" style="133" customWidth="1"/>
    <col min="4604" max="4608" width="10.5703125" style="133" customWidth="1"/>
    <col min="4609" max="4609" width="11.5703125" style="133" customWidth="1"/>
    <col min="4610" max="4610" width="10.5703125" style="133" customWidth="1"/>
    <col min="4611" max="4611" width="11.28515625" style="133" customWidth="1"/>
    <col min="4612" max="4828" width="6" style="133"/>
    <col min="4829" max="4835" width="10.7109375" style="133" customWidth="1"/>
    <col min="4836" max="4836" width="11.28515625" style="133" customWidth="1"/>
    <col min="4837" max="4848" width="10.7109375" style="133" customWidth="1"/>
    <col min="4849" max="4849" width="13.42578125" style="133" customWidth="1"/>
    <col min="4850" max="4850" width="12.85546875" style="133" customWidth="1"/>
    <col min="4851" max="4852" width="12.28515625" style="133" customWidth="1"/>
    <col min="4853" max="4853" width="11.28515625" style="133" bestFit="1" customWidth="1"/>
    <col min="4854" max="4855" width="10.7109375" style="133" customWidth="1"/>
    <col min="4856" max="4856" width="13.28515625" style="133" customWidth="1"/>
    <col min="4857" max="4857" width="10.7109375" style="133" customWidth="1"/>
    <col min="4858" max="4858" width="12.28515625" style="133" customWidth="1"/>
    <col min="4859" max="4859" width="10.7109375" style="133" customWidth="1"/>
    <col min="4860" max="4864" width="10.5703125" style="133" customWidth="1"/>
    <col min="4865" max="4865" width="11.5703125" style="133" customWidth="1"/>
    <col min="4866" max="4866" width="10.5703125" style="133" customWidth="1"/>
    <col min="4867" max="4867" width="11.28515625" style="133" customWidth="1"/>
    <col min="4868" max="5084" width="6" style="133"/>
    <col min="5085" max="5091" width="10.7109375" style="133" customWidth="1"/>
    <col min="5092" max="5092" width="11.28515625" style="133" customWidth="1"/>
    <col min="5093" max="5104" width="10.7109375" style="133" customWidth="1"/>
    <col min="5105" max="5105" width="13.42578125" style="133" customWidth="1"/>
    <col min="5106" max="5106" width="12.85546875" style="133" customWidth="1"/>
    <col min="5107" max="5108" width="12.28515625" style="133" customWidth="1"/>
    <col min="5109" max="5109" width="11.28515625" style="133" bestFit="1" customWidth="1"/>
    <col min="5110" max="5111" width="10.7109375" style="133" customWidth="1"/>
    <col min="5112" max="5112" width="13.28515625" style="133" customWidth="1"/>
    <col min="5113" max="5113" width="10.7109375" style="133" customWidth="1"/>
    <col min="5114" max="5114" width="12.28515625" style="133" customWidth="1"/>
    <col min="5115" max="5115" width="10.7109375" style="133" customWidth="1"/>
    <col min="5116" max="5120" width="10.5703125" style="133" customWidth="1"/>
    <col min="5121" max="5121" width="11.5703125" style="133" customWidth="1"/>
    <col min="5122" max="5122" width="10.5703125" style="133" customWidth="1"/>
    <col min="5123" max="5123" width="11.28515625" style="133" customWidth="1"/>
    <col min="5124" max="5340" width="6" style="133"/>
    <col min="5341" max="5347" width="10.7109375" style="133" customWidth="1"/>
    <col min="5348" max="5348" width="11.28515625" style="133" customWidth="1"/>
    <col min="5349" max="5360" width="10.7109375" style="133" customWidth="1"/>
    <col min="5361" max="5361" width="13.42578125" style="133" customWidth="1"/>
    <col min="5362" max="5362" width="12.85546875" style="133" customWidth="1"/>
    <col min="5363" max="5364" width="12.28515625" style="133" customWidth="1"/>
    <col min="5365" max="5365" width="11.28515625" style="133" bestFit="1" customWidth="1"/>
    <col min="5366" max="5367" width="10.7109375" style="133" customWidth="1"/>
    <col min="5368" max="5368" width="13.28515625" style="133" customWidth="1"/>
    <col min="5369" max="5369" width="10.7109375" style="133" customWidth="1"/>
    <col min="5370" max="5370" width="12.28515625" style="133" customWidth="1"/>
    <col min="5371" max="5371" width="10.7109375" style="133" customWidth="1"/>
    <col min="5372" max="5376" width="10.5703125" style="133" customWidth="1"/>
    <col min="5377" max="5377" width="11.5703125" style="133" customWidth="1"/>
    <col min="5378" max="5378" width="10.5703125" style="133" customWidth="1"/>
    <col min="5379" max="5379" width="11.28515625" style="133" customWidth="1"/>
    <col min="5380" max="5596" width="6" style="133"/>
    <col min="5597" max="5603" width="10.7109375" style="133" customWidth="1"/>
    <col min="5604" max="5604" width="11.28515625" style="133" customWidth="1"/>
    <col min="5605" max="5616" width="10.7109375" style="133" customWidth="1"/>
    <col min="5617" max="5617" width="13.42578125" style="133" customWidth="1"/>
    <col min="5618" max="5618" width="12.85546875" style="133" customWidth="1"/>
    <col min="5619" max="5620" width="12.28515625" style="133" customWidth="1"/>
    <col min="5621" max="5621" width="11.28515625" style="133" bestFit="1" customWidth="1"/>
    <col min="5622" max="5623" width="10.7109375" style="133" customWidth="1"/>
    <col min="5624" max="5624" width="13.28515625" style="133" customWidth="1"/>
    <col min="5625" max="5625" width="10.7109375" style="133" customWidth="1"/>
    <col min="5626" max="5626" width="12.28515625" style="133" customWidth="1"/>
    <col min="5627" max="5627" width="10.7109375" style="133" customWidth="1"/>
    <col min="5628" max="5632" width="10.5703125" style="133" customWidth="1"/>
    <col min="5633" max="5633" width="11.5703125" style="133" customWidth="1"/>
    <col min="5634" max="5634" width="10.5703125" style="133" customWidth="1"/>
    <col min="5635" max="5635" width="11.28515625" style="133" customWidth="1"/>
    <col min="5636" max="5852" width="6" style="133"/>
    <col min="5853" max="5859" width="10.7109375" style="133" customWidth="1"/>
    <col min="5860" max="5860" width="11.28515625" style="133" customWidth="1"/>
    <col min="5861" max="5872" width="10.7109375" style="133" customWidth="1"/>
    <col min="5873" max="5873" width="13.42578125" style="133" customWidth="1"/>
    <col min="5874" max="5874" width="12.85546875" style="133" customWidth="1"/>
    <col min="5875" max="5876" width="12.28515625" style="133" customWidth="1"/>
    <col min="5877" max="5877" width="11.28515625" style="133" bestFit="1" customWidth="1"/>
    <col min="5878" max="5879" width="10.7109375" style="133" customWidth="1"/>
    <col min="5880" max="5880" width="13.28515625" style="133" customWidth="1"/>
    <col min="5881" max="5881" width="10.7109375" style="133" customWidth="1"/>
    <col min="5882" max="5882" width="12.28515625" style="133" customWidth="1"/>
    <col min="5883" max="5883" width="10.7109375" style="133" customWidth="1"/>
    <col min="5884" max="5888" width="10.5703125" style="133" customWidth="1"/>
    <col min="5889" max="5889" width="11.5703125" style="133" customWidth="1"/>
    <col min="5890" max="5890" width="10.5703125" style="133" customWidth="1"/>
    <col min="5891" max="5891" width="11.28515625" style="133" customWidth="1"/>
    <col min="5892" max="6108" width="6" style="133"/>
    <col min="6109" max="6115" width="10.7109375" style="133" customWidth="1"/>
    <col min="6116" max="6116" width="11.28515625" style="133" customWidth="1"/>
    <col min="6117" max="6128" width="10.7109375" style="133" customWidth="1"/>
    <col min="6129" max="6129" width="13.42578125" style="133" customWidth="1"/>
    <col min="6130" max="6130" width="12.85546875" style="133" customWidth="1"/>
    <col min="6131" max="6132" width="12.28515625" style="133" customWidth="1"/>
    <col min="6133" max="6133" width="11.28515625" style="133" bestFit="1" customWidth="1"/>
    <col min="6134" max="6135" width="10.7109375" style="133" customWidth="1"/>
    <col min="6136" max="6136" width="13.28515625" style="133" customWidth="1"/>
    <col min="6137" max="6137" width="10.7109375" style="133" customWidth="1"/>
    <col min="6138" max="6138" width="12.28515625" style="133" customWidth="1"/>
    <col min="6139" max="6139" width="10.7109375" style="133" customWidth="1"/>
    <col min="6140" max="6144" width="10.5703125" style="133" customWidth="1"/>
    <col min="6145" max="6145" width="11.5703125" style="133" customWidth="1"/>
    <col min="6146" max="6146" width="10.5703125" style="133" customWidth="1"/>
    <col min="6147" max="6147" width="11.28515625" style="133" customWidth="1"/>
    <col min="6148" max="6364" width="6" style="133"/>
    <col min="6365" max="6371" width="10.7109375" style="133" customWidth="1"/>
    <col min="6372" max="6372" width="11.28515625" style="133" customWidth="1"/>
    <col min="6373" max="6384" width="10.7109375" style="133" customWidth="1"/>
    <col min="6385" max="6385" width="13.42578125" style="133" customWidth="1"/>
    <col min="6386" max="6386" width="12.85546875" style="133" customWidth="1"/>
    <col min="6387" max="6388" width="12.28515625" style="133" customWidth="1"/>
    <col min="6389" max="6389" width="11.28515625" style="133" bestFit="1" customWidth="1"/>
    <col min="6390" max="6391" width="10.7109375" style="133" customWidth="1"/>
    <col min="6392" max="6392" width="13.28515625" style="133" customWidth="1"/>
    <col min="6393" max="6393" width="10.7109375" style="133" customWidth="1"/>
    <col min="6394" max="6394" width="12.28515625" style="133" customWidth="1"/>
    <col min="6395" max="6395" width="10.7109375" style="133" customWidth="1"/>
    <col min="6396" max="6400" width="10.5703125" style="133" customWidth="1"/>
    <col min="6401" max="6401" width="11.5703125" style="133" customWidth="1"/>
    <col min="6402" max="6402" width="10.5703125" style="133" customWidth="1"/>
    <col min="6403" max="6403" width="11.28515625" style="133" customWidth="1"/>
    <col min="6404" max="6620" width="6" style="133"/>
    <col min="6621" max="6627" width="10.7109375" style="133" customWidth="1"/>
    <col min="6628" max="6628" width="11.28515625" style="133" customWidth="1"/>
    <col min="6629" max="6640" width="10.7109375" style="133" customWidth="1"/>
    <col min="6641" max="6641" width="13.42578125" style="133" customWidth="1"/>
    <col min="6642" max="6642" width="12.85546875" style="133" customWidth="1"/>
    <col min="6643" max="6644" width="12.28515625" style="133" customWidth="1"/>
    <col min="6645" max="6645" width="11.28515625" style="133" bestFit="1" customWidth="1"/>
    <col min="6646" max="6647" width="10.7109375" style="133" customWidth="1"/>
    <col min="6648" max="6648" width="13.28515625" style="133" customWidth="1"/>
    <col min="6649" max="6649" width="10.7109375" style="133" customWidth="1"/>
    <col min="6650" max="6650" width="12.28515625" style="133" customWidth="1"/>
    <col min="6651" max="6651" width="10.7109375" style="133" customWidth="1"/>
    <col min="6652" max="6656" width="10.5703125" style="133" customWidth="1"/>
    <col min="6657" max="6657" width="11.5703125" style="133" customWidth="1"/>
    <col min="6658" max="6658" width="10.5703125" style="133" customWidth="1"/>
    <col min="6659" max="6659" width="11.28515625" style="133" customWidth="1"/>
    <col min="6660" max="6876" width="6" style="133"/>
    <col min="6877" max="6883" width="10.7109375" style="133" customWidth="1"/>
    <col min="6884" max="6884" width="11.28515625" style="133" customWidth="1"/>
    <col min="6885" max="6896" width="10.7109375" style="133" customWidth="1"/>
    <col min="6897" max="6897" width="13.42578125" style="133" customWidth="1"/>
    <col min="6898" max="6898" width="12.85546875" style="133" customWidth="1"/>
    <col min="6899" max="6900" width="12.28515625" style="133" customWidth="1"/>
    <col min="6901" max="6901" width="11.28515625" style="133" bestFit="1" customWidth="1"/>
    <col min="6902" max="6903" width="10.7109375" style="133" customWidth="1"/>
    <col min="6904" max="6904" width="13.28515625" style="133" customWidth="1"/>
    <col min="6905" max="6905" width="10.7109375" style="133" customWidth="1"/>
    <col min="6906" max="6906" width="12.28515625" style="133" customWidth="1"/>
    <col min="6907" max="6907" width="10.7109375" style="133" customWidth="1"/>
    <col min="6908" max="6912" width="10.5703125" style="133" customWidth="1"/>
    <col min="6913" max="6913" width="11.5703125" style="133" customWidth="1"/>
    <col min="6914" max="6914" width="10.5703125" style="133" customWidth="1"/>
    <col min="6915" max="6915" width="11.28515625" style="133" customWidth="1"/>
    <col min="6916" max="7132" width="6" style="133"/>
    <col min="7133" max="7139" width="10.7109375" style="133" customWidth="1"/>
    <col min="7140" max="7140" width="11.28515625" style="133" customWidth="1"/>
    <col min="7141" max="7152" width="10.7109375" style="133" customWidth="1"/>
    <col min="7153" max="7153" width="13.42578125" style="133" customWidth="1"/>
    <col min="7154" max="7154" width="12.85546875" style="133" customWidth="1"/>
    <col min="7155" max="7156" width="12.28515625" style="133" customWidth="1"/>
    <col min="7157" max="7157" width="11.28515625" style="133" bestFit="1" customWidth="1"/>
    <col min="7158" max="7159" width="10.7109375" style="133" customWidth="1"/>
    <col min="7160" max="7160" width="13.28515625" style="133" customWidth="1"/>
    <col min="7161" max="7161" width="10.7109375" style="133" customWidth="1"/>
    <col min="7162" max="7162" width="12.28515625" style="133" customWidth="1"/>
    <col min="7163" max="7163" width="10.7109375" style="133" customWidth="1"/>
    <col min="7164" max="7168" width="10.5703125" style="133" customWidth="1"/>
    <col min="7169" max="7169" width="11.5703125" style="133" customWidth="1"/>
    <col min="7170" max="7170" width="10.5703125" style="133" customWidth="1"/>
    <col min="7171" max="7171" width="11.28515625" style="133" customWidth="1"/>
    <col min="7172" max="7388" width="6" style="133"/>
    <col min="7389" max="7395" width="10.7109375" style="133" customWidth="1"/>
    <col min="7396" max="7396" width="11.28515625" style="133" customWidth="1"/>
    <col min="7397" max="7408" width="10.7109375" style="133" customWidth="1"/>
    <col min="7409" max="7409" width="13.42578125" style="133" customWidth="1"/>
    <col min="7410" max="7410" width="12.85546875" style="133" customWidth="1"/>
    <col min="7411" max="7412" width="12.28515625" style="133" customWidth="1"/>
    <col min="7413" max="7413" width="11.28515625" style="133" bestFit="1" customWidth="1"/>
    <col min="7414" max="7415" width="10.7109375" style="133" customWidth="1"/>
    <col min="7416" max="7416" width="13.28515625" style="133" customWidth="1"/>
    <col min="7417" max="7417" width="10.7109375" style="133" customWidth="1"/>
    <col min="7418" max="7418" width="12.28515625" style="133" customWidth="1"/>
    <col min="7419" max="7419" width="10.7109375" style="133" customWidth="1"/>
    <col min="7420" max="7424" width="10.5703125" style="133" customWidth="1"/>
    <col min="7425" max="7425" width="11.5703125" style="133" customWidth="1"/>
    <col min="7426" max="7426" width="10.5703125" style="133" customWidth="1"/>
    <col min="7427" max="7427" width="11.28515625" style="133" customWidth="1"/>
    <col min="7428" max="7644" width="6" style="133"/>
    <col min="7645" max="7651" width="10.7109375" style="133" customWidth="1"/>
    <col min="7652" max="7652" width="11.28515625" style="133" customWidth="1"/>
    <col min="7653" max="7664" width="10.7109375" style="133" customWidth="1"/>
    <col min="7665" max="7665" width="13.42578125" style="133" customWidth="1"/>
    <col min="7666" max="7666" width="12.85546875" style="133" customWidth="1"/>
    <col min="7667" max="7668" width="12.28515625" style="133" customWidth="1"/>
    <col min="7669" max="7669" width="11.28515625" style="133" bestFit="1" customWidth="1"/>
    <col min="7670" max="7671" width="10.7109375" style="133" customWidth="1"/>
    <col min="7672" max="7672" width="13.28515625" style="133" customWidth="1"/>
    <col min="7673" max="7673" width="10.7109375" style="133" customWidth="1"/>
    <col min="7674" max="7674" width="12.28515625" style="133" customWidth="1"/>
    <col min="7675" max="7675" width="10.7109375" style="133" customWidth="1"/>
    <col min="7676" max="7680" width="10.5703125" style="133" customWidth="1"/>
    <col min="7681" max="7681" width="11.5703125" style="133" customWidth="1"/>
    <col min="7682" max="7682" width="10.5703125" style="133" customWidth="1"/>
    <col min="7683" max="7683" width="11.28515625" style="133" customWidth="1"/>
    <col min="7684" max="7900" width="6" style="133"/>
    <col min="7901" max="7907" width="10.7109375" style="133" customWidth="1"/>
    <col min="7908" max="7908" width="11.28515625" style="133" customWidth="1"/>
    <col min="7909" max="7920" width="10.7109375" style="133" customWidth="1"/>
    <col min="7921" max="7921" width="13.42578125" style="133" customWidth="1"/>
    <col min="7922" max="7922" width="12.85546875" style="133" customWidth="1"/>
    <col min="7923" max="7924" width="12.28515625" style="133" customWidth="1"/>
    <col min="7925" max="7925" width="11.28515625" style="133" bestFit="1" customWidth="1"/>
    <col min="7926" max="7927" width="10.7109375" style="133" customWidth="1"/>
    <col min="7928" max="7928" width="13.28515625" style="133" customWidth="1"/>
    <col min="7929" max="7929" width="10.7109375" style="133" customWidth="1"/>
    <col min="7930" max="7930" width="12.28515625" style="133" customWidth="1"/>
    <col min="7931" max="7931" width="10.7109375" style="133" customWidth="1"/>
    <col min="7932" max="7936" width="10.5703125" style="133" customWidth="1"/>
    <col min="7937" max="7937" width="11.5703125" style="133" customWidth="1"/>
    <col min="7938" max="7938" width="10.5703125" style="133" customWidth="1"/>
    <col min="7939" max="7939" width="11.28515625" style="133" customWidth="1"/>
    <col min="7940" max="8156" width="6" style="133"/>
    <col min="8157" max="8163" width="10.7109375" style="133" customWidth="1"/>
    <col min="8164" max="8164" width="11.28515625" style="133" customWidth="1"/>
    <col min="8165" max="8176" width="10.7109375" style="133" customWidth="1"/>
    <col min="8177" max="8177" width="13.42578125" style="133" customWidth="1"/>
    <col min="8178" max="8178" width="12.85546875" style="133" customWidth="1"/>
    <col min="8179" max="8180" width="12.28515625" style="133" customWidth="1"/>
    <col min="8181" max="8181" width="11.28515625" style="133" bestFit="1" customWidth="1"/>
    <col min="8182" max="8183" width="10.7109375" style="133" customWidth="1"/>
    <col min="8184" max="8184" width="13.28515625" style="133" customWidth="1"/>
    <col min="8185" max="8185" width="10.7109375" style="133" customWidth="1"/>
    <col min="8186" max="8186" width="12.28515625" style="133" customWidth="1"/>
    <col min="8187" max="8187" width="10.7109375" style="133" customWidth="1"/>
    <col min="8188" max="8192" width="10.5703125" style="133" customWidth="1"/>
    <col min="8193" max="8193" width="11.5703125" style="133" customWidth="1"/>
    <col min="8194" max="8194" width="10.5703125" style="133" customWidth="1"/>
    <col min="8195" max="8195" width="11.28515625" style="133" customWidth="1"/>
    <col min="8196" max="8412" width="6" style="133"/>
    <col min="8413" max="8419" width="10.7109375" style="133" customWidth="1"/>
    <col min="8420" max="8420" width="11.28515625" style="133" customWidth="1"/>
    <col min="8421" max="8432" width="10.7109375" style="133" customWidth="1"/>
    <col min="8433" max="8433" width="13.42578125" style="133" customWidth="1"/>
    <col min="8434" max="8434" width="12.85546875" style="133" customWidth="1"/>
    <col min="8435" max="8436" width="12.28515625" style="133" customWidth="1"/>
    <col min="8437" max="8437" width="11.28515625" style="133" bestFit="1" customWidth="1"/>
    <col min="8438" max="8439" width="10.7109375" style="133" customWidth="1"/>
    <col min="8440" max="8440" width="13.28515625" style="133" customWidth="1"/>
    <col min="8441" max="8441" width="10.7109375" style="133" customWidth="1"/>
    <col min="8442" max="8442" width="12.28515625" style="133" customWidth="1"/>
    <col min="8443" max="8443" width="10.7109375" style="133" customWidth="1"/>
    <col min="8444" max="8448" width="10.5703125" style="133" customWidth="1"/>
    <col min="8449" max="8449" width="11.5703125" style="133" customWidth="1"/>
    <col min="8450" max="8450" width="10.5703125" style="133" customWidth="1"/>
    <col min="8451" max="8451" width="11.28515625" style="133" customWidth="1"/>
    <col min="8452" max="8668" width="6" style="133"/>
    <col min="8669" max="8675" width="10.7109375" style="133" customWidth="1"/>
    <col min="8676" max="8676" width="11.28515625" style="133" customWidth="1"/>
    <col min="8677" max="8688" width="10.7109375" style="133" customWidth="1"/>
    <col min="8689" max="8689" width="13.42578125" style="133" customWidth="1"/>
    <col min="8690" max="8690" width="12.85546875" style="133" customWidth="1"/>
    <col min="8691" max="8692" width="12.28515625" style="133" customWidth="1"/>
    <col min="8693" max="8693" width="11.28515625" style="133" bestFit="1" customWidth="1"/>
    <col min="8694" max="8695" width="10.7109375" style="133" customWidth="1"/>
    <col min="8696" max="8696" width="13.28515625" style="133" customWidth="1"/>
    <col min="8697" max="8697" width="10.7109375" style="133" customWidth="1"/>
    <col min="8698" max="8698" width="12.28515625" style="133" customWidth="1"/>
    <col min="8699" max="8699" width="10.7109375" style="133" customWidth="1"/>
    <col min="8700" max="8704" width="10.5703125" style="133" customWidth="1"/>
    <col min="8705" max="8705" width="11.5703125" style="133" customWidth="1"/>
    <col min="8706" max="8706" width="10.5703125" style="133" customWidth="1"/>
    <col min="8707" max="8707" width="11.28515625" style="133" customWidth="1"/>
    <col min="8708" max="8924" width="6" style="133"/>
    <col min="8925" max="8931" width="10.7109375" style="133" customWidth="1"/>
    <col min="8932" max="8932" width="11.28515625" style="133" customWidth="1"/>
    <col min="8933" max="8944" width="10.7109375" style="133" customWidth="1"/>
    <col min="8945" max="8945" width="13.42578125" style="133" customWidth="1"/>
    <col min="8946" max="8946" width="12.85546875" style="133" customWidth="1"/>
    <col min="8947" max="8948" width="12.28515625" style="133" customWidth="1"/>
    <col min="8949" max="8949" width="11.28515625" style="133" bestFit="1" customWidth="1"/>
    <col min="8950" max="8951" width="10.7109375" style="133" customWidth="1"/>
    <col min="8952" max="8952" width="13.28515625" style="133" customWidth="1"/>
    <col min="8953" max="8953" width="10.7109375" style="133" customWidth="1"/>
    <col min="8954" max="8954" width="12.28515625" style="133" customWidth="1"/>
    <col min="8955" max="8955" width="10.7109375" style="133" customWidth="1"/>
    <col min="8956" max="8960" width="10.5703125" style="133" customWidth="1"/>
    <col min="8961" max="8961" width="11.5703125" style="133" customWidth="1"/>
    <col min="8962" max="8962" width="10.5703125" style="133" customWidth="1"/>
    <col min="8963" max="8963" width="11.28515625" style="133" customWidth="1"/>
    <col min="8964" max="9180" width="6" style="133"/>
    <col min="9181" max="9187" width="10.7109375" style="133" customWidth="1"/>
    <col min="9188" max="9188" width="11.28515625" style="133" customWidth="1"/>
    <col min="9189" max="9200" width="10.7109375" style="133" customWidth="1"/>
    <col min="9201" max="9201" width="13.42578125" style="133" customWidth="1"/>
    <col min="9202" max="9202" width="12.85546875" style="133" customWidth="1"/>
    <col min="9203" max="9204" width="12.28515625" style="133" customWidth="1"/>
    <col min="9205" max="9205" width="11.28515625" style="133" bestFit="1" customWidth="1"/>
    <col min="9206" max="9207" width="10.7109375" style="133" customWidth="1"/>
    <col min="9208" max="9208" width="13.28515625" style="133" customWidth="1"/>
    <col min="9209" max="9209" width="10.7109375" style="133" customWidth="1"/>
    <col min="9210" max="9210" width="12.28515625" style="133" customWidth="1"/>
    <col min="9211" max="9211" width="10.7109375" style="133" customWidth="1"/>
    <col min="9212" max="9216" width="10.5703125" style="133" customWidth="1"/>
    <col min="9217" max="9217" width="11.5703125" style="133" customWidth="1"/>
    <col min="9218" max="9218" width="10.5703125" style="133" customWidth="1"/>
    <col min="9219" max="9219" width="11.28515625" style="133" customWidth="1"/>
    <col min="9220" max="9436" width="6" style="133"/>
    <col min="9437" max="9443" width="10.7109375" style="133" customWidth="1"/>
    <col min="9444" max="9444" width="11.28515625" style="133" customWidth="1"/>
    <col min="9445" max="9456" width="10.7109375" style="133" customWidth="1"/>
    <col min="9457" max="9457" width="13.42578125" style="133" customWidth="1"/>
    <col min="9458" max="9458" width="12.85546875" style="133" customWidth="1"/>
    <col min="9459" max="9460" width="12.28515625" style="133" customWidth="1"/>
    <col min="9461" max="9461" width="11.28515625" style="133" bestFit="1" customWidth="1"/>
    <col min="9462" max="9463" width="10.7109375" style="133" customWidth="1"/>
    <col min="9464" max="9464" width="13.28515625" style="133" customWidth="1"/>
    <col min="9465" max="9465" width="10.7109375" style="133" customWidth="1"/>
    <col min="9466" max="9466" width="12.28515625" style="133" customWidth="1"/>
    <col min="9467" max="9467" width="10.7109375" style="133" customWidth="1"/>
    <col min="9468" max="9472" width="10.5703125" style="133" customWidth="1"/>
    <col min="9473" max="9473" width="11.5703125" style="133" customWidth="1"/>
    <col min="9474" max="9474" width="10.5703125" style="133" customWidth="1"/>
    <col min="9475" max="9475" width="11.28515625" style="133" customWidth="1"/>
    <col min="9476" max="9692" width="6" style="133"/>
    <col min="9693" max="9699" width="10.7109375" style="133" customWidth="1"/>
    <col min="9700" max="9700" width="11.28515625" style="133" customWidth="1"/>
    <col min="9701" max="9712" width="10.7109375" style="133" customWidth="1"/>
    <col min="9713" max="9713" width="13.42578125" style="133" customWidth="1"/>
    <col min="9714" max="9714" width="12.85546875" style="133" customWidth="1"/>
    <col min="9715" max="9716" width="12.28515625" style="133" customWidth="1"/>
    <col min="9717" max="9717" width="11.28515625" style="133" bestFit="1" customWidth="1"/>
    <col min="9718" max="9719" width="10.7109375" style="133" customWidth="1"/>
    <col min="9720" max="9720" width="13.28515625" style="133" customWidth="1"/>
    <col min="9721" max="9721" width="10.7109375" style="133" customWidth="1"/>
    <col min="9722" max="9722" width="12.28515625" style="133" customWidth="1"/>
    <col min="9723" max="9723" width="10.7109375" style="133" customWidth="1"/>
    <col min="9724" max="9728" width="10.5703125" style="133" customWidth="1"/>
    <col min="9729" max="9729" width="11.5703125" style="133" customWidth="1"/>
    <col min="9730" max="9730" width="10.5703125" style="133" customWidth="1"/>
    <col min="9731" max="9731" width="11.28515625" style="133" customWidth="1"/>
    <col min="9732" max="9948" width="6" style="133"/>
    <col min="9949" max="9955" width="10.7109375" style="133" customWidth="1"/>
    <col min="9956" max="9956" width="11.28515625" style="133" customWidth="1"/>
    <col min="9957" max="9968" width="10.7109375" style="133" customWidth="1"/>
    <col min="9969" max="9969" width="13.42578125" style="133" customWidth="1"/>
    <col min="9970" max="9970" width="12.85546875" style="133" customWidth="1"/>
    <col min="9971" max="9972" width="12.28515625" style="133" customWidth="1"/>
    <col min="9973" max="9973" width="11.28515625" style="133" bestFit="1" customWidth="1"/>
    <col min="9974" max="9975" width="10.7109375" style="133" customWidth="1"/>
    <col min="9976" max="9976" width="13.28515625" style="133" customWidth="1"/>
    <col min="9977" max="9977" width="10.7109375" style="133" customWidth="1"/>
    <col min="9978" max="9978" width="12.28515625" style="133" customWidth="1"/>
    <col min="9979" max="9979" width="10.7109375" style="133" customWidth="1"/>
    <col min="9980" max="9984" width="10.5703125" style="133" customWidth="1"/>
    <col min="9985" max="9985" width="11.5703125" style="133" customWidth="1"/>
    <col min="9986" max="9986" width="10.5703125" style="133" customWidth="1"/>
    <col min="9987" max="9987" width="11.28515625" style="133" customWidth="1"/>
    <col min="9988" max="10204" width="6" style="133"/>
    <col min="10205" max="10211" width="10.7109375" style="133" customWidth="1"/>
    <col min="10212" max="10212" width="11.28515625" style="133" customWidth="1"/>
    <col min="10213" max="10224" width="10.7109375" style="133" customWidth="1"/>
    <col min="10225" max="10225" width="13.42578125" style="133" customWidth="1"/>
    <col min="10226" max="10226" width="12.85546875" style="133" customWidth="1"/>
    <col min="10227" max="10228" width="12.28515625" style="133" customWidth="1"/>
    <col min="10229" max="10229" width="11.28515625" style="133" bestFit="1" customWidth="1"/>
    <col min="10230" max="10231" width="10.7109375" style="133" customWidth="1"/>
    <col min="10232" max="10232" width="13.28515625" style="133" customWidth="1"/>
    <col min="10233" max="10233" width="10.7109375" style="133" customWidth="1"/>
    <col min="10234" max="10234" width="12.28515625" style="133" customWidth="1"/>
    <col min="10235" max="10235" width="10.7109375" style="133" customWidth="1"/>
    <col min="10236" max="10240" width="10.5703125" style="133" customWidth="1"/>
    <col min="10241" max="10241" width="11.5703125" style="133" customWidth="1"/>
    <col min="10242" max="10242" width="10.5703125" style="133" customWidth="1"/>
    <col min="10243" max="10243" width="11.28515625" style="133" customWidth="1"/>
    <col min="10244" max="10460" width="6" style="133"/>
    <col min="10461" max="10467" width="10.7109375" style="133" customWidth="1"/>
    <col min="10468" max="10468" width="11.28515625" style="133" customWidth="1"/>
    <col min="10469" max="10480" width="10.7109375" style="133" customWidth="1"/>
    <col min="10481" max="10481" width="13.42578125" style="133" customWidth="1"/>
    <col min="10482" max="10482" width="12.85546875" style="133" customWidth="1"/>
    <col min="10483" max="10484" width="12.28515625" style="133" customWidth="1"/>
    <col min="10485" max="10485" width="11.28515625" style="133" bestFit="1" customWidth="1"/>
    <col min="10486" max="10487" width="10.7109375" style="133" customWidth="1"/>
    <col min="10488" max="10488" width="13.28515625" style="133" customWidth="1"/>
    <col min="10489" max="10489" width="10.7109375" style="133" customWidth="1"/>
    <col min="10490" max="10490" width="12.28515625" style="133" customWidth="1"/>
    <col min="10491" max="10491" width="10.7109375" style="133" customWidth="1"/>
    <col min="10492" max="10496" width="10.5703125" style="133" customWidth="1"/>
    <col min="10497" max="10497" width="11.5703125" style="133" customWidth="1"/>
    <col min="10498" max="10498" width="10.5703125" style="133" customWidth="1"/>
    <col min="10499" max="10499" width="11.28515625" style="133" customWidth="1"/>
    <col min="10500" max="10716" width="6" style="133"/>
    <col min="10717" max="10723" width="10.7109375" style="133" customWidth="1"/>
    <col min="10724" max="10724" width="11.28515625" style="133" customWidth="1"/>
    <col min="10725" max="10736" width="10.7109375" style="133" customWidth="1"/>
    <col min="10737" max="10737" width="13.42578125" style="133" customWidth="1"/>
    <col min="10738" max="10738" width="12.85546875" style="133" customWidth="1"/>
    <col min="10739" max="10740" width="12.28515625" style="133" customWidth="1"/>
    <col min="10741" max="10741" width="11.28515625" style="133" bestFit="1" customWidth="1"/>
    <col min="10742" max="10743" width="10.7109375" style="133" customWidth="1"/>
    <col min="10744" max="10744" width="13.28515625" style="133" customWidth="1"/>
    <col min="10745" max="10745" width="10.7109375" style="133" customWidth="1"/>
    <col min="10746" max="10746" width="12.28515625" style="133" customWidth="1"/>
    <col min="10747" max="10747" width="10.7109375" style="133" customWidth="1"/>
    <col min="10748" max="10752" width="10.5703125" style="133" customWidth="1"/>
    <col min="10753" max="10753" width="11.5703125" style="133" customWidth="1"/>
    <col min="10754" max="10754" width="10.5703125" style="133" customWidth="1"/>
    <col min="10755" max="10755" width="11.28515625" style="133" customWidth="1"/>
    <col min="10756" max="10972" width="6" style="133"/>
    <col min="10973" max="10979" width="10.7109375" style="133" customWidth="1"/>
    <col min="10980" max="10980" width="11.28515625" style="133" customWidth="1"/>
    <col min="10981" max="10992" width="10.7109375" style="133" customWidth="1"/>
    <col min="10993" max="10993" width="13.42578125" style="133" customWidth="1"/>
    <col min="10994" max="10994" width="12.85546875" style="133" customWidth="1"/>
    <col min="10995" max="10996" width="12.28515625" style="133" customWidth="1"/>
    <col min="10997" max="10997" width="11.28515625" style="133" bestFit="1" customWidth="1"/>
    <col min="10998" max="10999" width="10.7109375" style="133" customWidth="1"/>
    <col min="11000" max="11000" width="13.28515625" style="133" customWidth="1"/>
    <col min="11001" max="11001" width="10.7109375" style="133" customWidth="1"/>
    <col min="11002" max="11002" width="12.28515625" style="133" customWidth="1"/>
    <col min="11003" max="11003" width="10.7109375" style="133" customWidth="1"/>
    <col min="11004" max="11008" width="10.5703125" style="133" customWidth="1"/>
    <col min="11009" max="11009" width="11.5703125" style="133" customWidth="1"/>
    <col min="11010" max="11010" width="10.5703125" style="133" customWidth="1"/>
    <col min="11011" max="11011" width="11.28515625" style="133" customWidth="1"/>
    <col min="11012" max="11228" width="6" style="133"/>
    <col min="11229" max="11235" width="10.7109375" style="133" customWidth="1"/>
    <col min="11236" max="11236" width="11.28515625" style="133" customWidth="1"/>
    <col min="11237" max="11248" width="10.7109375" style="133" customWidth="1"/>
    <col min="11249" max="11249" width="13.42578125" style="133" customWidth="1"/>
    <col min="11250" max="11250" width="12.85546875" style="133" customWidth="1"/>
    <col min="11251" max="11252" width="12.28515625" style="133" customWidth="1"/>
    <col min="11253" max="11253" width="11.28515625" style="133" bestFit="1" customWidth="1"/>
    <col min="11254" max="11255" width="10.7109375" style="133" customWidth="1"/>
    <col min="11256" max="11256" width="13.28515625" style="133" customWidth="1"/>
    <col min="11257" max="11257" width="10.7109375" style="133" customWidth="1"/>
    <col min="11258" max="11258" width="12.28515625" style="133" customWidth="1"/>
    <col min="11259" max="11259" width="10.7109375" style="133" customWidth="1"/>
    <col min="11260" max="11264" width="10.5703125" style="133" customWidth="1"/>
    <col min="11265" max="11265" width="11.5703125" style="133" customWidth="1"/>
    <col min="11266" max="11266" width="10.5703125" style="133" customWidth="1"/>
    <col min="11267" max="11267" width="11.28515625" style="133" customWidth="1"/>
    <col min="11268" max="11484" width="6" style="133"/>
    <col min="11485" max="11491" width="10.7109375" style="133" customWidth="1"/>
    <col min="11492" max="11492" width="11.28515625" style="133" customWidth="1"/>
    <col min="11493" max="11504" width="10.7109375" style="133" customWidth="1"/>
    <col min="11505" max="11505" width="13.42578125" style="133" customWidth="1"/>
    <col min="11506" max="11506" width="12.85546875" style="133" customWidth="1"/>
    <col min="11507" max="11508" width="12.28515625" style="133" customWidth="1"/>
    <col min="11509" max="11509" width="11.28515625" style="133" bestFit="1" customWidth="1"/>
    <col min="11510" max="11511" width="10.7109375" style="133" customWidth="1"/>
    <col min="11512" max="11512" width="13.28515625" style="133" customWidth="1"/>
    <col min="11513" max="11513" width="10.7109375" style="133" customWidth="1"/>
    <col min="11514" max="11514" width="12.28515625" style="133" customWidth="1"/>
    <col min="11515" max="11515" width="10.7109375" style="133" customWidth="1"/>
    <col min="11516" max="11520" width="10.5703125" style="133" customWidth="1"/>
    <col min="11521" max="11521" width="11.5703125" style="133" customWidth="1"/>
    <col min="11522" max="11522" width="10.5703125" style="133" customWidth="1"/>
    <col min="11523" max="11523" width="11.28515625" style="133" customWidth="1"/>
    <col min="11524" max="11740" width="6" style="133"/>
    <col min="11741" max="11747" width="10.7109375" style="133" customWidth="1"/>
    <col min="11748" max="11748" width="11.28515625" style="133" customWidth="1"/>
    <col min="11749" max="11760" width="10.7109375" style="133" customWidth="1"/>
    <col min="11761" max="11761" width="13.42578125" style="133" customWidth="1"/>
    <col min="11762" max="11762" width="12.85546875" style="133" customWidth="1"/>
    <col min="11763" max="11764" width="12.28515625" style="133" customWidth="1"/>
    <col min="11765" max="11765" width="11.28515625" style="133" bestFit="1" customWidth="1"/>
    <col min="11766" max="11767" width="10.7109375" style="133" customWidth="1"/>
    <col min="11768" max="11768" width="13.28515625" style="133" customWidth="1"/>
    <col min="11769" max="11769" width="10.7109375" style="133" customWidth="1"/>
    <col min="11770" max="11770" width="12.28515625" style="133" customWidth="1"/>
    <col min="11771" max="11771" width="10.7109375" style="133" customWidth="1"/>
    <col min="11772" max="11776" width="10.5703125" style="133" customWidth="1"/>
    <col min="11777" max="11777" width="11.5703125" style="133" customWidth="1"/>
    <col min="11778" max="11778" width="10.5703125" style="133" customWidth="1"/>
    <col min="11779" max="11779" width="11.28515625" style="133" customWidth="1"/>
    <col min="11780" max="11996" width="6" style="133"/>
    <col min="11997" max="12003" width="10.7109375" style="133" customWidth="1"/>
    <col min="12004" max="12004" width="11.28515625" style="133" customWidth="1"/>
    <col min="12005" max="12016" width="10.7109375" style="133" customWidth="1"/>
    <col min="12017" max="12017" width="13.42578125" style="133" customWidth="1"/>
    <col min="12018" max="12018" width="12.85546875" style="133" customWidth="1"/>
    <col min="12019" max="12020" width="12.28515625" style="133" customWidth="1"/>
    <col min="12021" max="12021" width="11.28515625" style="133" bestFit="1" customWidth="1"/>
    <col min="12022" max="12023" width="10.7109375" style="133" customWidth="1"/>
    <col min="12024" max="12024" width="13.28515625" style="133" customWidth="1"/>
    <col min="12025" max="12025" width="10.7109375" style="133" customWidth="1"/>
    <col min="12026" max="12026" width="12.28515625" style="133" customWidth="1"/>
    <col min="12027" max="12027" width="10.7109375" style="133" customWidth="1"/>
    <col min="12028" max="12032" width="10.5703125" style="133" customWidth="1"/>
    <col min="12033" max="12033" width="11.5703125" style="133" customWidth="1"/>
    <col min="12034" max="12034" width="10.5703125" style="133" customWidth="1"/>
    <col min="12035" max="12035" width="11.28515625" style="133" customWidth="1"/>
    <col min="12036" max="12252" width="6" style="133"/>
    <col min="12253" max="12259" width="10.7109375" style="133" customWidth="1"/>
    <col min="12260" max="12260" width="11.28515625" style="133" customWidth="1"/>
    <col min="12261" max="12272" width="10.7109375" style="133" customWidth="1"/>
    <col min="12273" max="12273" width="13.42578125" style="133" customWidth="1"/>
    <col min="12274" max="12274" width="12.85546875" style="133" customWidth="1"/>
    <col min="12275" max="12276" width="12.28515625" style="133" customWidth="1"/>
    <col min="12277" max="12277" width="11.28515625" style="133" bestFit="1" customWidth="1"/>
    <col min="12278" max="12279" width="10.7109375" style="133" customWidth="1"/>
    <col min="12280" max="12280" width="13.28515625" style="133" customWidth="1"/>
    <col min="12281" max="12281" width="10.7109375" style="133" customWidth="1"/>
    <col min="12282" max="12282" width="12.28515625" style="133" customWidth="1"/>
    <col min="12283" max="12283" width="10.7109375" style="133" customWidth="1"/>
    <col min="12284" max="12288" width="10.5703125" style="133" customWidth="1"/>
    <col min="12289" max="12289" width="11.5703125" style="133" customWidth="1"/>
    <col min="12290" max="12290" width="10.5703125" style="133" customWidth="1"/>
    <col min="12291" max="12291" width="11.28515625" style="133" customWidth="1"/>
    <col min="12292" max="12508" width="6" style="133"/>
    <col min="12509" max="12515" width="10.7109375" style="133" customWidth="1"/>
    <col min="12516" max="12516" width="11.28515625" style="133" customWidth="1"/>
    <col min="12517" max="12528" width="10.7109375" style="133" customWidth="1"/>
    <col min="12529" max="12529" width="13.42578125" style="133" customWidth="1"/>
    <col min="12530" max="12530" width="12.85546875" style="133" customWidth="1"/>
    <col min="12531" max="12532" width="12.28515625" style="133" customWidth="1"/>
    <col min="12533" max="12533" width="11.28515625" style="133" bestFit="1" customWidth="1"/>
    <col min="12534" max="12535" width="10.7109375" style="133" customWidth="1"/>
    <col min="12536" max="12536" width="13.28515625" style="133" customWidth="1"/>
    <col min="12537" max="12537" width="10.7109375" style="133" customWidth="1"/>
    <col min="12538" max="12538" width="12.28515625" style="133" customWidth="1"/>
    <col min="12539" max="12539" width="10.7109375" style="133" customWidth="1"/>
    <col min="12540" max="12544" width="10.5703125" style="133" customWidth="1"/>
    <col min="12545" max="12545" width="11.5703125" style="133" customWidth="1"/>
    <col min="12546" max="12546" width="10.5703125" style="133" customWidth="1"/>
    <col min="12547" max="12547" width="11.28515625" style="133" customWidth="1"/>
    <col min="12548" max="12764" width="6" style="133"/>
    <col min="12765" max="12771" width="10.7109375" style="133" customWidth="1"/>
    <col min="12772" max="12772" width="11.28515625" style="133" customWidth="1"/>
    <col min="12773" max="12784" width="10.7109375" style="133" customWidth="1"/>
    <col min="12785" max="12785" width="13.42578125" style="133" customWidth="1"/>
    <col min="12786" max="12786" width="12.85546875" style="133" customWidth="1"/>
    <col min="12787" max="12788" width="12.28515625" style="133" customWidth="1"/>
    <col min="12789" max="12789" width="11.28515625" style="133" bestFit="1" customWidth="1"/>
    <col min="12790" max="12791" width="10.7109375" style="133" customWidth="1"/>
    <col min="12792" max="12792" width="13.28515625" style="133" customWidth="1"/>
    <col min="12793" max="12793" width="10.7109375" style="133" customWidth="1"/>
    <col min="12794" max="12794" width="12.28515625" style="133" customWidth="1"/>
    <col min="12795" max="12795" width="10.7109375" style="133" customWidth="1"/>
    <col min="12796" max="12800" width="10.5703125" style="133" customWidth="1"/>
    <col min="12801" max="12801" width="11.5703125" style="133" customWidth="1"/>
    <col min="12802" max="12802" width="10.5703125" style="133" customWidth="1"/>
    <col min="12803" max="12803" width="11.28515625" style="133" customWidth="1"/>
    <col min="12804" max="13020" width="6" style="133"/>
    <col min="13021" max="13027" width="10.7109375" style="133" customWidth="1"/>
    <col min="13028" max="13028" width="11.28515625" style="133" customWidth="1"/>
    <col min="13029" max="13040" width="10.7109375" style="133" customWidth="1"/>
    <col min="13041" max="13041" width="13.42578125" style="133" customWidth="1"/>
    <col min="13042" max="13042" width="12.85546875" style="133" customWidth="1"/>
    <col min="13043" max="13044" width="12.28515625" style="133" customWidth="1"/>
    <col min="13045" max="13045" width="11.28515625" style="133" bestFit="1" customWidth="1"/>
    <col min="13046" max="13047" width="10.7109375" style="133" customWidth="1"/>
    <col min="13048" max="13048" width="13.28515625" style="133" customWidth="1"/>
    <col min="13049" max="13049" width="10.7109375" style="133" customWidth="1"/>
    <col min="13050" max="13050" width="12.28515625" style="133" customWidth="1"/>
    <col min="13051" max="13051" width="10.7109375" style="133" customWidth="1"/>
    <col min="13052" max="13056" width="10.5703125" style="133" customWidth="1"/>
    <col min="13057" max="13057" width="11.5703125" style="133" customWidth="1"/>
    <col min="13058" max="13058" width="10.5703125" style="133" customWidth="1"/>
    <col min="13059" max="13059" width="11.28515625" style="133" customWidth="1"/>
    <col min="13060" max="13276" width="6" style="133"/>
    <col min="13277" max="13283" width="10.7109375" style="133" customWidth="1"/>
    <col min="13284" max="13284" width="11.28515625" style="133" customWidth="1"/>
    <col min="13285" max="13296" width="10.7109375" style="133" customWidth="1"/>
    <col min="13297" max="13297" width="13.42578125" style="133" customWidth="1"/>
    <col min="13298" max="13298" width="12.85546875" style="133" customWidth="1"/>
    <col min="13299" max="13300" width="12.28515625" style="133" customWidth="1"/>
    <col min="13301" max="13301" width="11.28515625" style="133" bestFit="1" customWidth="1"/>
    <col min="13302" max="13303" width="10.7109375" style="133" customWidth="1"/>
    <col min="13304" max="13304" width="13.28515625" style="133" customWidth="1"/>
    <col min="13305" max="13305" width="10.7109375" style="133" customWidth="1"/>
    <col min="13306" max="13306" width="12.28515625" style="133" customWidth="1"/>
    <col min="13307" max="13307" width="10.7109375" style="133" customWidth="1"/>
    <col min="13308" max="13312" width="10.5703125" style="133" customWidth="1"/>
    <col min="13313" max="13313" width="11.5703125" style="133" customWidth="1"/>
    <col min="13314" max="13314" width="10.5703125" style="133" customWidth="1"/>
    <col min="13315" max="13315" width="11.28515625" style="133" customWidth="1"/>
    <col min="13316" max="13532" width="6" style="133"/>
    <col min="13533" max="13539" width="10.7109375" style="133" customWidth="1"/>
    <col min="13540" max="13540" width="11.28515625" style="133" customWidth="1"/>
    <col min="13541" max="13552" width="10.7109375" style="133" customWidth="1"/>
    <col min="13553" max="13553" width="13.42578125" style="133" customWidth="1"/>
    <col min="13554" max="13554" width="12.85546875" style="133" customWidth="1"/>
    <col min="13555" max="13556" width="12.28515625" style="133" customWidth="1"/>
    <col min="13557" max="13557" width="11.28515625" style="133" bestFit="1" customWidth="1"/>
    <col min="13558" max="13559" width="10.7109375" style="133" customWidth="1"/>
    <col min="13560" max="13560" width="13.28515625" style="133" customWidth="1"/>
    <col min="13561" max="13561" width="10.7109375" style="133" customWidth="1"/>
    <col min="13562" max="13562" width="12.28515625" style="133" customWidth="1"/>
    <col min="13563" max="13563" width="10.7109375" style="133" customWidth="1"/>
    <col min="13564" max="13568" width="10.5703125" style="133" customWidth="1"/>
    <col min="13569" max="13569" width="11.5703125" style="133" customWidth="1"/>
    <col min="13570" max="13570" width="10.5703125" style="133" customWidth="1"/>
    <col min="13571" max="13571" width="11.28515625" style="133" customWidth="1"/>
    <col min="13572" max="13788" width="6" style="133"/>
    <col min="13789" max="13795" width="10.7109375" style="133" customWidth="1"/>
    <col min="13796" max="13796" width="11.28515625" style="133" customWidth="1"/>
    <col min="13797" max="13808" width="10.7109375" style="133" customWidth="1"/>
    <col min="13809" max="13809" width="13.42578125" style="133" customWidth="1"/>
    <col min="13810" max="13810" width="12.85546875" style="133" customWidth="1"/>
    <col min="13811" max="13812" width="12.28515625" style="133" customWidth="1"/>
    <col min="13813" max="13813" width="11.28515625" style="133" bestFit="1" customWidth="1"/>
    <col min="13814" max="13815" width="10.7109375" style="133" customWidth="1"/>
    <col min="13816" max="13816" width="13.28515625" style="133" customWidth="1"/>
    <col min="13817" max="13817" width="10.7109375" style="133" customWidth="1"/>
    <col min="13818" max="13818" width="12.28515625" style="133" customWidth="1"/>
    <col min="13819" max="13819" width="10.7109375" style="133" customWidth="1"/>
    <col min="13820" max="13824" width="10.5703125" style="133" customWidth="1"/>
    <col min="13825" max="13825" width="11.5703125" style="133" customWidth="1"/>
    <col min="13826" max="13826" width="10.5703125" style="133" customWidth="1"/>
    <col min="13827" max="13827" width="11.28515625" style="133" customWidth="1"/>
    <col min="13828" max="14044" width="6" style="133"/>
    <col min="14045" max="14051" width="10.7109375" style="133" customWidth="1"/>
    <col min="14052" max="14052" width="11.28515625" style="133" customWidth="1"/>
    <col min="14053" max="14064" width="10.7109375" style="133" customWidth="1"/>
    <col min="14065" max="14065" width="13.42578125" style="133" customWidth="1"/>
    <col min="14066" max="14066" width="12.85546875" style="133" customWidth="1"/>
    <col min="14067" max="14068" width="12.28515625" style="133" customWidth="1"/>
    <col min="14069" max="14069" width="11.28515625" style="133" bestFit="1" customWidth="1"/>
    <col min="14070" max="14071" width="10.7109375" style="133" customWidth="1"/>
    <col min="14072" max="14072" width="13.28515625" style="133" customWidth="1"/>
    <col min="14073" max="14073" width="10.7109375" style="133" customWidth="1"/>
    <col min="14074" max="14074" width="12.28515625" style="133" customWidth="1"/>
    <col min="14075" max="14075" width="10.7109375" style="133" customWidth="1"/>
    <col min="14076" max="14080" width="10.5703125" style="133" customWidth="1"/>
    <col min="14081" max="14081" width="11.5703125" style="133" customWidth="1"/>
    <col min="14082" max="14082" width="10.5703125" style="133" customWidth="1"/>
    <col min="14083" max="14083" width="11.28515625" style="133" customWidth="1"/>
    <col min="14084" max="14300" width="6" style="133"/>
    <col min="14301" max="14307" width="10.7109375" style="133" customWidth="1"/>
    <col min="14308" max="14308" width="11.28515625" style="133" customWidth="1"/>
    <col min="14309" max="14320" width="10.7109375" style="133" customWidth="1"/>
    <col min="14321" max="14321" width="13.42578125" style="133" customWidth="1"/>
    <col min="14322" max="14322" width="12.85546875" style="133" customWidth="1"/>
    <col min="14323" max="14324" width="12.28515625" style="133" customWidth="1"/>
    <col min="14325" max="14325" width="11.28515625" style="133" bestFit="1" customWidth="1"/>
    <col min="14326" max="14327" width="10.7109375" style="133" customWidth="1"/>
    <col min="14328" max="14328" width="13.28515625" style="133" customWidth="1"/>
    <col min="14329" max="14329" width="10.7109375" style="133" customWidth="1"/>
    <col min="14330" max="14330" width="12.28515625" style="133" customWidth="1"/>
    <col min="14331" max="14331" width="10.7109375" style="133" customWidth="1"/>
    <col min="14332" max="14336" width="10.5703125" style="133" customWidth="1"/>
    <col min="14337" max="14337" width="11.5703125" style="133" customWidth="1"/>
    <col min="14338" max="14338" width="10.5703125" style="133" customWidth="1"/>
    <col min="14339" max="14339" width="11.28515625" style="133" customWidth="1"/>
    <col min="14340" max="14556" width="6" style="133"/>
    <col min="14557" max="14563" width="10.7109375" style="133" customWidth="1"/>
    <col min="14564" max="14564" width="11.28515625" style="133" customWidth="1"/>
    <col min="14565" max="14576" width="10.7109375" style="133" customWidth="1"/>
    <col min="14577" max="14577" width="13.42578125" style="133" customWidth="1"/>
    <col min="14578" max="14578" width="12.85546875" style="133" customWidth="1"/>
    <col min="14579" max="14580" width="12.28515625" style="133" customWidth="1"/>
    <col min="14581" max="14581" width="11.28515625" style="133" bestFit="1" customWidth="1"/>
    <col min="14582" max="14583" width="10.7109375" style="133" customWidth="1"/>
    <col min="14584" max="14584" width="13.28515625" style="133" customWidth="1"/>
    <col min="14585" max="14585" width="10.7109375" style="133" customWidth="1"/>
    <col min="14586" max="14586" width="12.28515625" style="133" customWidth="1"/>
    <col min="14587" max="14587" width="10.7109375" style="133" customWidth="1"/>
    <col min="14588" max="14592" width="10.5703125" style="133" customWidth="1"/>
    <col min="14593" max="14593" width="11.5703125" style="133" customWidth="1"/>
    <col min="14594" max="14594" width="10.5703125" style="133" customWidth="1"/>
    <col min="14595" max="14595" width="11.28515625" style="133" customWidth="1"/>
    <col min="14596" max="14812" width="6" style="133"/>
    <col min="14813" max="14819" width="10.7109375" style="133" customWidth="1"/>
    <col min="14820" max="14820" width="11.28515625" style="133" customWidth="1"/>
    <col min="14821" max="14832" width="10.7109375" style="133" customWidth="1"/>
    <col min="14833" max="14833" width="13.42578125" style="133" customWidth="1"/>
    <col min="14834" max="14834" width="12.85546875" style="133" customWidth="1"/>
    <col min="14835" max="14836" width="12.28515625" style="133" customWidth="1"/>
    <col min="14837" max="14837" width="11.28515625" style="133" bestFit="1" customWidth="1"/>
    <col min="14838" max="14839" width="10.7109375" style="133" customWidth="1"/>
    <col min="14840" max="14840" width="13.28515625" style="133" customWidth="1"/>
    <col min="14841" max="14841" width="10.7109375" style="133" customWidth="1"/>
    <col min="14842" max="14842" width="12.28515625" style="133" customWidth="1"/>
    <col min="14843" max="14843" width="10.7109375" style="133" customWidth="1"/>
    <col min="14844" max="14848" width="10.5703125" style="133" customWidth="1"/>
    <col min="14849" max="14849" width="11.5703125" style="133" customWidth="1"/>
    <col min="14850" max="14850" width="10.5703125" style="133" customWidth="1"/>
    <col min="14851" max="14851" width="11.28515625" style="133" customWidth="1"/>
    <col min="14852" max="15068" width="6" style="133"/>
    <col min="15069" max="15075" width="10.7109375" style="133" customWidth="1"/>
    <col min="15076" max="15076" width="11.28515625" style="133" customWidth="1"/>
    <col min="15077" max="15088" width="10.7109375" style="133" customWidth="1"/>
    <col min="15089" max="15089" width="13.42578125" style="133" customWidth="1"/>
    <col min="15090" max="15090" width="12.85546875" style="133" customWidth="1"/>
    <col min="15091" max="15092" width="12.28515625" style="133" customWidth="1"/>
    <col min="15093" max="15093" width="11.28515625" style="133" bestFit="1" customWidth="1"/>
    <col min="15094" max="15095" width="10.7109375" style="133" customWidth="1"/>
    <col min="15096" max="15096" width="13.28515625" style="133" customWidth="1"/>
    <col min="15097" max="15097" width="10.7109375" style="133" customWidth="1"/>
    <col min="15098" max="15098" width="12.28515625" style="133" customWidth="1"/>
    <col min="15099" max="15099" width="10.7109375" style="133" customWidth="1"/>
    <col min="15100" max="15104" width="10.5703125" style="133" customWidth="1"/>
    <col min="15105" max="15105" width="11.5703125" style="133" customWidth="1"/>
    <col min="15106" max="15106" width="10.5703125" style="133" customWidth="1"/>
    <col min="15107" max="15107" width="11.28515625" style="133" customWidth="1"/>
    <col min="15108" max="15324" width="6" style="133"/>
    <col min="15325" max="15331" width="10.7109375" style="133" customWidth="1"/>
    <col min="15332" max="15332" width="11.28515625" style="133" customWidth="1"/>
    <col min="15333" max="15344" width="10.7109375" style="133" customWidth="1"/>
    <col min="15345" max="15345" width="13.42578125" style="133" customWidth="1"/>
    <col min="15346" max="15346" width="12.85546875" style="133" customWidth="1"/>
    <col min="15347" max="15348" width="12.28515625" style="133" customWidth="1"/>
    <col min="15349" max="15349" width="11.28515625" style="133" bestFit="1" customWidth="1"/>
    <col min="15350" max="15351" width="10.7109375" style="133" customWidth="1"/>
    <col min="15352" max="15352" width="13.28515625" style="133" customWidth="1"/>
    <col min="15353" max="15353" width="10.7109375" style="133" customWidth="1"/>
    <col min="15354" max="15354" width="12.28515625" style="133" customWidth="1"/>
    <col min="15355" max="15355" width="10.7109375" style="133" customWidth="1"/>
    <col min="15356" max="15360" width="10.5703125" style="133" customWidth="1"/>
    <col min="15361" max="15361" width="11.5703125" style="133" customWidth="1"/>
    <col min="15362" max="15362" width="10.5703125" style="133" customWidth="1"/>
    <col min="15363" max="15363" width="11.28515625" style="133" customWidth="1"/>
    <col min="15364" max="15580" width="6" style="133"/>
    <col min="15581" max="15587" width="10.7109375" style="133" customWidth="1"/>
    <col min="15588" max="15588" width="11.28515625" style="133" customWidth="1"/>
    <col min="15589" max="15600" width="10.7109375" style="133" customWidth="1"/>
    <col min="15601" max="15601" width="13.42578125" style="133" customWidth="1"/>
    <col min="15602" max="15602" width="12.85546875" style="133" customWidth="1"/>
    <col min="15603" max="15604" width="12.28515625" style="133" customWidth="1"/>
    <col min="15605" max="15605" width="11.28515625" style="133" bestFit="1" customWidth="1"/>
    <col min="15606" max="15607" width="10.7109375" style="133" customWidth="1"/>
    <col min="15608" max="15608" width="13.28515625" style="133" customWidth="1"/>
    <col min="15609" max="15609" width="10.7109375" style="133" customWidth="1"/>
    <col min="15610" max="15610" width="12.28515625" style="133" customWidth="1"/>
    <col min="15611" max="15611" width="10.7109375" style="133" customWidth="1"/>
    <col min="15612" max="15616" width="10.5703125" style="133" customWidth="1"/>
    <col min="15617" max="15617" width="11.5703125" style="133" customWidth="1"/>
    <col min="15618" max="15618" width="10.5703125" style="133" customWidth="1"/>
    <col min="15619" max="15619" width="11.28515625" style="133" customWidth="1"/>
    <col min="15620" max="15836" width="6" style="133"/>
    <col min="15837" max="15843" width="10.7109375" style="133" customWidth="1"/>
    <col min="15844" max="15844" width="11.28515625" style="133" customWidth="1"/>
    <col min="15845" max="15856" width="10.7109375" style="133" customWidth="1"/>
    <col min="15857" max="15857" width="13.42578125" style="133" customWidth="1"/>
    <col min="15858" max="15858" width="12.85546875" style="133" customWidth="1"/>
    <col min="15859" max="15860" width="12.28515625" style="133" customWidth="1"/>
    <col min="15861" max="15861" width="11.28515625" style="133" bestFit="1" customWidth="1"/>
    <col min="15862" max="15863" width="10.7109375" style="133" customWidth="1"/>
    <col min="15864" max="15864" width="13.28515625" style="133" customWidth="1"/>
    <col min="15865" max="15865" width="10.7109375" style="133" customWidth="1"/>
    <col min="15866" max="15866" width="12.28515625" style="133" customWidth="1"/>
    <col min="15867" max="15867" width="10.7109375" style="133" customWidth="1"/>
    <col min="15868" max="15872" width="10.5703125" style="133" customWidth="1"/>
    <col min="15873" max="15873" width="11.5703125" style="133" customWidth="1"/>
    <col min="15874" max="15874" width="10.5703125" style="133" customWidth="1"/>
    <col min="15875" max="15875" width="11.28515625" style="133" customWidth="1"/>
    <col min="15876" max="16092" width="6" style="133"/>
    <col min="16093" max="16099" width="10.7109375" style="133" customWidth="1"/>
    <col min="16100" max="16100" width="11.28515625" style="133" customWidth="1"/>
    <col min="16101" max="16112" width="10.7109375" style="133" customWidth="1"/>
    <col min="16113" max="16113" width="13.42578125" style="133" customWidth="1"/>
    <col min="16114" max="16114" width="12.85546875" style="133" customWidth="1"/>
    <col min="16115" max="16116" width="12.28515625" style="133" customWidth="1"/>
    <col min="16117" max="16117" width="11.28515625" style="133" bestFit="1" customWidth="1"/>
    <col min="16118" max="16119" width="10.7109375" style="133" customWidth="1"/>
    <col min="16120" max="16120" width="13.28515625" style="133" customWidth="1"/>
    <col min="16121" max="16121" width="10.7109375" style="133" customWidth="1"/>
    <col min="16122" max="16122" width="12.28515625" style="133" customWidth="1"/>
    <col min="16123" max="16123" width="10.7109375" style="133" customWidth="1"/>
    <col min="16124" max="16128" width="10.5703125" style="133" customWidth="1"/>
    <col min="16129" max="16129" width="11.5703125" style="133" customWidth="1"/>
    <col min="16130" max="16130" width="10.5703125" style="133" customWidth="1"/>
    <col min="16131" max="16131" width="11.28515625" style="133" customWidth="1"/>
    <col min="16132" max="16384" width="6" style="133"/>
  </cols>
  <sheetData>
    <row r="1" spans="2:21" ht="84.6" customHeight="1" x14ac:dyDescent="0.2">
      <c r="B1" s="520" t="str">
        <f>"Calendário "&amp;'Mota Engil 2024-2029'!B2</f>
        <v>Calendário Obrigações Mota-Engil 2029</v>
      </c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333"/>
      <c r="U1" s="333"/>
    </row>
    <row r="2" spans="2:21" ht="14.45" customHeight="1" x14ac:dyDescent="0.45"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</row>
    <row r="3" spans="2:21" s="135" customFormat="1" ht="46.9" customHeight="1" x14ac:dyDescent="0.25">
      <c r="B3" s="134">
        <f>'Mota Engil 2024-2029'!B25</f>
        <v>45565</v>
      </c>
      <c r="C3" s="134">
        <f t="shared" ref="C3:R3" si="0">B3+1</f>
        <v>45566</v>
      </c>
      <c r="D3" s="134">
        <f t="shared" si="0"/>
        <v>45567</v>
      </c>
      <c r="E3" s="134">
        <f t="shared" si="0"/>
        <v>45568</v>
      </c>
      <c r="F3" s="134">
        <f t="shared" si="0"/>
        <v>45569</v>
      </c>
      <c r="G3" s="350">
        <f t="shared" si="0"/>
        <v>45570</v>
      </c>
      <c r="H3" s="350">
        <f t="shared" si="0"/>
        <v>45571</v>
      </c>
      <c r="I3" s="134">
        <f t="shared" si="0"/>
        <v>45572</v>
      </c>
      <c r="J3" s="134">
        <f t="shared" si="0"/>
        <v>45573</v>
      </c>
      <c r="K3" s="134">
        <f t="shared" si="0"/>
        <v>45574</v>
      </c>
      <c r="L3" s="134">
        <f t="shared" si="0"/>
        <v>45575</v>
      </c>
      <c r="M3" s="134">
        <f t="shared" si="0"/>
        <v>45576</v>
      </c>
      <c r="N3" s="350">
        <f t="shared" si="0"/>
        <v>45577</v>
      </c>
      <c r="O3" s="350">
        <f t="shared" si="0"/>
        <v>45578</v>
      </c>
      <c r="P3" s="134">
        <f t="shared" si="0"/>
        <v>45579</v>
      </c>
      <c r="Q3" s="134">
        <f t="shared" si="0"/>
        <v>45580</v>
      </c>
      <c r="R3" s="134">
        <f t="shared" si="0"/>
        <v>45581</v>
      </c>
      <c r="S3" s="134">
        <f t="shared" ref="S3" si="1">R3+1</f>
        <v>45582</v>
      </c>
    </row>
    <row r="4" spans="2:21" ht="58.15" customHeight="1" x14ac:dyDescent="0.2">
      <c r="B4" s="524" t="str">
        <f>"Período de Subscrição das "&amp;'Mota Engil 2024-2029'!B2&amp;" (das 08h30 de dia "&amp;'Mota Engil 2024-2029'!D25&amp;" até ás 15:00h do dia "&amp;'Mota Engil 2024-2029'!D28&amp;")"</f>
        <v>Período de Subscrição das Obrigações Mota-Engil 2029 (das 08h30 de dia 30/09/2024 até ás 15:00h do dia 11/10/2024)</v>
      </c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P4" s="521" t="s">
        <v>361</v>
      </c>
      <c r="R4" s="223" t="str">
        <f>'Mota Engil 2024-2029'!A30</f>
        <v>Liquidação Física e Financeira</v>
      </c>
      <c r="T4" s="140"/>
    </row>
    <row r="5" spans="2:21" ht="54.6" customHeight="1" x14ac:dyDescent="0.2">
      <c r="B5" s="525" t="str">
        <f>"Período de Revogação das ordens de Subscrição (as Ordens podem ser alteradas ou revogadas até ás 15h00 de dia "&amp;'Mota Engil 2024-2029'!D27&amp;")"</f>
        <v>Período de Revogação das ordens de Subscrição (as Ordens podem ser alteradas ou revogadas até ás 15h00 de dia 11/10/2024)</v>
      </c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P5" s="521"/>
      <c r="R5" s="288" t="str">
        <f>'Mota Engil 2024-2029'!A31</f>
        <v>Admissão à Negociação</v>
      </c>
      <c r="T5" s="141"/>
    </row>
    <row r="6" spans="2:21" ht="49.15" customHeight="1" x14ac:dyDescent="0.2">
      <c r="B6" s="223" t="s">
        <v>143</v>
      </c>
      <c r="K6" s="522" t="str">
        <f>'Mota Engil 2024-2029'!A26</f>
        <v>Limite para aumento do montante da Oferta</v>
      </c>
      <c r="M6" s="522" t="str">
        <f>LEFT('Mota Engil 2024-2029'!A27,49)</f>
        <v>Limite para a revogação e/ou alteração das ordens</v>
      </c>
    </row>
    <row r="7" spans="2:21" ht="43.15" customHeight="1" x14ac:dyDescent="0.2">
      <c r="B7" s="138"/>
      <c r="K7" s="523"/>
      <c r="M7" s="523"/>
    </row>
    <row r="8" spans="2:21" ht="9" customHeight="1" x14ac:dyDescent="0.2">
      <c r="B8" s="138"/>
    </row>
    <row r="9" spans="2:21" s="137" customFormat="1" ht="75.599999999999994" customHeight="1" x14ac:dyDescent="0.2">
      <c r="B9" s="138"/>
      <c r="F9" s="526" t="s">
        <v>398</v>
      </c>
      <c r="G9" s="527"/>
      <c r="H9" s="527"/>
      <c r="I9" s="527"/>
      <c r="J9" s="527"/>
      <c r="K9" s="527"/>
      <c r="L9" s="527"/>
      <c r="M9" s="527"/>
      <c r="N9" s="527"/>
      <c r="O9" s="527"/>
      <c r="P9" s="133"/>
      <c r="Q9" s="133"/>
      <c r="R9" s="133"/>
      <c r="S9" s="133"/>
      <c r="T9" s="133"/>
    </row>
    <row r="10" spans="2:21" s="137" customFormat="1" ht="27.6" customHeight="1" x14ac:dyDescent="0.2">
      <c r="F10" s="518" t="s">
        <v>138</v>
      </c>
      <c r="G10" s="518"/>
      <c r="H10" s="518"/>
      <c r="I10" s="518"/>
      <c r="J10" s="518"/>
      <c r="K10" s="518"/>
      <c r="L10" s="519">
        <f>'Mota Engil 2024-2029'!B12</f>
        <v>45581</v>
      </c>
      <c r="M10" s="519"/>
      <c r="N10" s="519"/>
      <c r="O10" s="519"/>
      <c r="P10" s="133"/>
      <c r="Q10" s="133"/>
      <c r="R10" s="133"/>
      <c r="S10" s="133"/>
      <c r="T10" s="133"/>
    </row>
    <row r="11" spans="2:21" ht="27.6" customHeight="1" x14ac:dyDescent="0.2">
      <c r="F11" s="518" t="str">
        <f>IF(TIR!E57="",IF(TIR!E56="","",TIR!E56&amp;"º Cupão e Reembolso (Amortização)"),IF(TIR!E56="","",TIR!E56&amp;"º Cupão"))</f>
        <v>1º Cupão</v>
      </c>
      <c r="G11" s="518"/>
      <c r="H11" s="518"/>
      <c r="I11" s="518"/>
      <c r="J11" s="518"/>
      <c r="K11" s="518"/>
      <c r="L11" s="519">
        <f>TIR!D56</f>
        <v>45763</v>
      </c>
      <c r="M11" s="519"/>
      <c r="N11" s="519"/>
      <c r="O11" s="519"/>
    </row>
    <row r="12" spans="2:21" ht="27.6" customHeight="1" x14ac:dyDescent="0.2">
      <c r="F12" s="518" t="str">
        <f>IF(TIR!E58="",IF(TIR!E57="","",TIR!E57&amp;"º Cupão e Reembolso (Amortização)"),IF(TIR!E57="","",TIR!E57&amp;"º Cupão"))</f>
        <v>2º Cupão</v>
      </c>
      <c r="G12" s="518"/>
      <c r="H12" s="518"/>
      <c r="I12" s="518"/>
      <c r="J12" s="518"/>
      <c r="K12" s="518"/>
      <c r="L12" s="519">
        <f>TIR!D57</f>
        <v>45946</v>
      </c>
      <c r="M12" s="519"/>
      <c r="N12" s="519"/>
      <c r="O12" s="519"/>
    </row>
    <row r="13" spans="2:21" ht="27.6" customHeight="1" x14ac:dyDescent="0.2">
      <c r="F13" s="518" t="str">
        <f>IF(TIR!E59="",IF(TIR!E58="","",TIR!E58&amp;"º Cupão e Reembolso (Amortização)"),IF(TIR!E58="","",TIR!E58&amp;"º Cupão"))</f>
        <v>3º Cupão</v>
      </c>
      <c r="G13" s="518"/>
      <c r="H13" s="518"/>
      <c r="I13" s="518"/>
      <c r="J13" s="518"/>
      <c r="K13" s="518"/>
      <c r="L13" s="519">
        <f>TIR!D58</f>
        <v>46128</v>
      </c>
      <c r="M13" s="519"/>
      <c r="N13" s="519"/>
      <c r="O13" s="519"/>
    </row>
    <row r="14" spans="2:21" ht="27.6" customHeight="1" x14ac:dyDescent="0.2">
      <c r="F14" s="518" t="str">
        <f>IF(TIR!E60="",IF(TIR!E59="","",TIR!E59&amp;"º Cupão e Reembolso (Amortização)"),IF(TIR!E59="","",TIR!E59&amp;"º Cupão"))</f>
        <v>4º Cupão</v>
      </c>
      <c r="G14" s="518"/>
      <c r="H14" s="518"/>
      <c r="I14" s="518"/>
      <c r="J14" s="518"/>
      <c r="K14" s="518"/>
      <c r="L14" s="519">
        <f>TIR!D59</f>
        <v>46311</v>
      </c>
      <c r="M14" s="519"/>
      <c r="N14" s="519"/>
      <c r="O14" s="519"/>
    </row>
    <row r="15" spans="2:21" ht="27.6" customHeight="1" x14ac:dyDescent="0.2">
      <c r="F15" s="518" t="str">
        <f>IF(TIR!E61="",IF(TIR!E60="","",TIR!E60&amp;"º Cupão e Reembolso (Amortização)"),IF(TIR!E60="","",TIR!E60&amp;"º Cupão"))</f>
        <v>5º Cupão</v>
      </c>
      <c r="G15" s="518"/>
      <c r="H15" s="518"/>
      <c r="I15" s="518"/>
      <c r="J15" s="518"/>
      <c r="K15" s="518"/>
      <c r="L15" s="519">
        <f>TIR!D60</f>
        <v>46493</v>
      </c>
      <c r="M15" s="519"/>
      <c r="N15" s="519"/>
      <c r="O15" s="519"/>
    </row>
    <row r="16" spans="2:21" ht="27.6" customHeight="1" x14ac:dyDescent="0.2">
      <c r="F16" s="518" t="str">
        <f>IF(TIR!E62="",IF(TIR!E61="","",TIR!E61&amp;"º Cupão e Reembolso (Amortização)"),IF(TIR!E61="","",TIR!E61&amp;"º Cupão"))</f>
        <v>6º Cupão</v>
      </c>
      <c r="G16" s="518"/>
      <c r="H16" s="518"/>
      <c r="I16" s="518"/>
      <c r="J16" s="518"/>
      <c r="K16" s="518"/>
      <c r="L16" s="519">
        <f>TIR!D61</f>
        <v>46676</v>
      </c>
      <c r="M16" s="519"/>
      <c r="N16" s="519"/>
      <c r="O16" s="519"/>
    </row>
    <row r="17" spans="6:17" ht="28.15" customHeight="1" x14ac:dyDescent="0.2">
      <c r="F17" s="518" t="str">
        <f>IF(TIR!E63="",IF(TIR!E62="","",TIR!E62&amp;"º Cupão e Reembolso (Amortização)"),IF(TIR!E62="","",TIR!E62&amp;"º Cupão"))</f>
        <v>7º Cupão</v>
      </c>
      <c r="G17" s="518"/>
      <c r="H17" s="518"/>
      <c r="I17" s="518"/>
      <c r="J17" s="518"/>
      <c r="K17" s="518"/>
      <c r="L17" s="519">
        <f>TIR!D62</f>
        <v>46859</v>
      </c>
      <c r="M17" s="519"/>
      <c r="N17" s="519"/>
      <c r="O17" s="519"/>
    </row>
    <row r="18" spans="6:17" ht="28.9" customHeight="1" x14ac:dyDescent="0.2">
      <c r="F18" s="518" t="str">
        <f>IF(TIR!E64="",IF(TIR!E63="","",TIR!E63&amp;"º Cupão e Reembolso (Amortização)"),IF(TIR!E63="","",TIR!E63&amp;"º Cupão"))</f>
        <v>8º Cupão</v>
      </c>
      <c r="G18" s="518"/>
      <c r="H18" s="518"/>
      <c r="I18" s="518"/>
      <c r="J18" s="518"/>
      <c r="K18" s="518"/>
      <c r="L18" s="519">
        <f>TIR!D63</f>
        <v>47042</v>
      </c>
      <c r="M18" s="519"/>
      <c r="N18" s="519"/>
      <c r="O18" s="519"/>
    </row>
    <row r="19" spans="6:17" ht="28.9" customHeight="1" x14ac:dyDescent="0.2">
      <c r="F19" s="518" t="str">
        <f>IF(TIR!E65="",IF(TIR!E64="","",TIR!E64&amp;"º Cupão e Reembolso (Amortização)"),IF(TIR!E64="","",TIR!E64&amp;"º Cupão"))</f>
        <v>9º Cupão</v>
      </c>
      <c r="G19" s="518"/>
      <c r="H19" s="518"/>
      <c r="I19" s="518"/>
      <c r="J19" s="518"/>
      <c r="K19" s="518"/>
      <c r="L19" s="519">
        <f>TIR!D64</f>
        <v>47224</v>
      </c>
      <c r="M19" s="519"/>
      <c r="N19" s="519"/>
      <c r="O19" s="519"/>
    </row>
    <row r="20" spans="6:17" ht="28.9" customHeight="1" x14ac:dyDescent="0.35">
      <c r="F20" s="518" t="str">
        <f>IF(TIR!E66="",IF(TIR!E65="","",TIR!E65&amp;"º Cupão e Reembolso (Amortização)"),IF(TIR!E65="","",TIR!E65&amp;"º Cupão"))</f>
        <v>10º Cupão e Reembolso (Amortização)</v>
      </c>
      <c r="G20" s="518"/>
      <c r="H20" s="518"/>
      <c r="I20" s="518"/>
      <c r="J20" s="518"/>
      <c r="K20" s="518"/>
      <c r="L20" s="519">
        <f>TIR!D65</f>
        <v>47407</v>
      </c>
      <c r="M20" s="519"/>
      <c r="N20" s="519"/>
      <c r="O20" s="519"/>
      <c r="Q20" s="136"/>
    </row>
    <row r="21" spans="6:17" ht="23.25" x14ac:dyDescent="0.2">
      <c r="F21" s="518" t="str">
        <f>IF(TIR!E67="",IF(TIR!E66="","",TIR!E66&amp;"º Cupão e Reembolso (Amortização)"),IF(TIR!E66="","",TIR!E66&amp;"º Cupão"))</f>
        <v/>
      </c>
      <c r="G21" s="518"/>
      <c r="H21" s="518"/>
      <c r="I21" s="518"/>
      <c r="J21" s="518"/>
      <c r="K21" s="518"/>
      <c r="L21" s="519" t="str">
        <f>TIR!D66</f>
        <v/>
      </c>
      <c r="M21" s="519"/>
      <c r="N21" s="519"/>
      <c r="O21" s="519"/>
    </row>
  </sheetData>
  <sheetProtection algorithmName="SHA-512" hashValue="dr6Edy3YdMeb6p1t685NOiog4JoGMyh557DMvj10x++kTE+UOTRD/kDjP7ktSHQZo/2Biz1KmIHfq4U6NBFXWQ==" saltValue="R07L+yyUgGOS6xk7Zy+RVg==" spinCount="100000" sheet="1" selectLockedCells="1"/>
  <mergeCells count="31">
    <mergeCell ref="B1:S1"/>
    <mergeCell ref="P4:P5"/>
    <mergeCell ref="L11:O11"/>
    <mergeCell ref="L12:O12"/>
    <mergeCell ref="L13:O13"/>
    <mergeCell ref="F11:K11"/>
    <mergeCell ref="F12:K12"/>
    <mergeCell ref="M6:M7"/>
    <mergeCell ref="B4:M4"/>
    <mergeCell ref="B5:M5"/>
    <mergeCell ref="F13:K13"/>
    <mergeCell ref="K6:K7"/>
    <mergeCell ref="L10:O10"/>
    <mergeCell ref="F10:K10"/>
    <mergeCell ref="F9:O9"/>
    <mergeCell ref="F21:K21"/>
    <mergeCell ref="L21:O21"/>
    <mergeCell ref="F14:K14"/>
    <mergeCell ref="F20:K20"/>
    <mergeCell ref="L17:O17"/>
    <mergeCell ref="L16:O16"/>
    <mergeCell ref="F16:K16"/>
    <mergeCell ref="L15:O15"/>
    <mergeCell ref="F15:K15"/>
    <mergeCell ref="L14:O14"/>
    <mergeCell ref="L18:O18"/>
    <mergeCell ref="L19:O19"/>
    <mergeCell ref="L20:O20"/>
    <mergeCell ref="F17:K17"/>
    <mergeCell ref="F18:K18"/>
    <mergeCell ref="F19:K19"/>
  </mergeCells>
  <pageMargins left="0.82677165354330717" right="0.23622047244094491" top="0.74803149606299213" bottom="0.74803149606299213" header="0.31496062992125984" footer="0.31496062992125984"/>
  <pageSetup paperSize="9" scale="5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32E7-1821-409D-812A-527F0A9214E4}">
  <dimension ref="A2:I20"/>
  <sheetViews>
    <sheetView showGridLines="0" zoomScale="150" zoomScaleNormal="150" workbookViewId="0">
      <selection activeCell="B6" sqref="B6:B19"/>
    </sheetView>
  </sheetViews>
  <sheetFormatPr defaultRowHeight="15" x14ac:dyDescent="0.25"/>
  <cols>
    <col min="1" max="1" width="2.140625" customWidth="1"/>
    <col min="2" max="2" width="51.28515625" customWidth="1"/>
    <col min="3" max="3" width="2.140625" customWidth="1"/>
    <col min="4" max="4" width="15.7109375" customWidth="1"/>
    <col min="5" max="5" width="1.7109375" customWidth="1"/>
    <col min="6" max="6" width="15.7109375" customWidth="1"/>
    <col min="7" max="7" width="1.7109375" customWidth="1"/>
    <col min="8" max="8" width="15.7109375" customWidth="1"/>
    <col min="9" max="9" width="1.140625" customWidth="1"/>
  </cols>
  <sheetData>
    <row r="2" spans="1:9" ht="22.15" customHeight="1" thickBot="1" x14ac:dyDescent="0.3"/>
    <row r="3" spans="1:9" ht="20.25" thickTop="1" thickBot="1" x14ac:dyDescent="0.3">
      <c r="D3" s="530" t="s">
        <v>303</v>
      </c>
      <c r="E3" s="531"/>
      <c r="F3" s="531"/>
      <c r="G3" s="531"/>
      <c r="H3" s="532"/>
    </row>
    <row r="4" spans="1:9" ht="45.75" thickTop="1" x14ac:dyDescent="0.35">
      <c r="C4" s="126"/>
      <c r="D4" s="353" t="s">
        <v>135</v>
      </c>
      <c r="E4" s="354"/>
      <c r="F4" s="353" t="s">
        <v>136</v>
      </c>
      <c r="G4" s="354"/>
      <c r="H4" s="353" t="s">
        <v>137</v>
      </c>
    </row>
    <row r="5" spans="1:9" ht="6" customHeight="1" thickBot="1" x14ac:dyDescent="0.3"/>
    <row r="6" spans="1:9" ht="15" customHeight="1" thickBot="1" x14ac:dyDescent="0.3">
      <c r="B6" s="533"/>
      <c r="C6" s="127"/>
      <c r="D6" s="352">
        <v>1500</v>
      </c>
      <c r="F6" s="351">
        <v>3.1E-2</v>
      </c>
      <c r="G6" s="283"/>
      <c r="H6" s="351">
        <v>6.1999999999999998E-3</v>
      </c>
    </row>
    <row r="7" spans="1:9" ht="6" customHeight="1" thickBot="1" x14ac:dyDescent="0.3">
      <c r="B7" s="533"/>
      <c r="D7" s="289"/>
      <c r="F7" s="283"/>
      <c r="G7" s="283"/>
      <c r="H7" s="283"/>
    </row>
    <row r="8" spans="1:9" ht="15" customHeight="1" thickBot="1" x14ac:dyDescent="0.3">
      <c r="A8" s="128"/>
      <c r="B8" s="533"/>
      <c r="C8" s="127"/>
      <c r="D8" s="323">
        <v>3000</v>
      </c>
      <c r="F8" s="324">
        <v>3.6400000000000002E-2</v>
      </c>
      <c r="G8" s="283"/>
      <c r="H8" s="324">
        <v>2.3900000000000001E-2</v>
      </c>
      <c r="I8" s="325" t="s">
        <v>374</v>
      </c>
    </row>
    <row r="9" spans="1:9" ht="6" customHeight="1" thickBot="1" x14ac:dyDescent="0.3">
      <c r="A9" s="128"/>
      <c r="B9" s="533"/>
      <c r="C9" s="129"/>
      <c r="D9" s="289"/>
      <c r="F9" s="283"/>
      <c r="G9" s="283"/>
      <c r="H9" s="283"/>
    </row>
    <row r="10" spans="1:9" ht="15" customHeight="1" thickBot="1" x14ac:dyDescent="0.3">
      <c r="A10" s="130"/>
      <c r="B10" s="533"/>
      <c r="C10" s="131"/>
      <c r="D10" s="352">
        <v>5010</v>
      </c>
      <c r="F10" s="351">
        <v>3.8600000000000002E-2</v>
      </c>
      <c r="G10" s="283"/>
      <c r="H10" s="351">
        <v>3.1099999999999999E-2</v>
      </c>
    </row>
    <row r="11" spans="1:9" ht="6" customHeight="1" thickBot="1" x14ac:dyDescent="0.3">
      <c r="A11" s="130"/>
      <c r="B11" s="533"/>
      <c r="C11" s="131"/>
      <c r="D11" s="289"/>
      <c r="F11" s="283"/>
      <c r="G11" s="283"/>
      <c r="H11" s="283"/>
    </row>
    <row r="12" spans="1:9" ht="15" customHeight="1" thickBot="1" x14ac:dyDescent="0.3">
      <c r="A12" s="130"/>
      <c r="B12" s="533"/>
      <c r="C12" s="131"/>
      <c r="D12" s="352">
        <v>7500</v>
      </c>
      <c r="F12" s="351">
        <v>3.9600000000000003E-2</v>
      </c>
      <c r="G12" s="283"/>
      <c r="H12" s="351">
        <v>3.4500000000000003E-2</v>
      </c>
    </row>
    <row r="13" spans="1:9" ht="6" customHeight="1" thickBot="1" x14ac:dyDescent="0.3">
      <c r="B13" s="533"/>
      <c r="C13" s="131"/>
      <c r="D13" s="289"/>
      <c r="F13" s="283"/>
      <c r="G13" s="283"/>
      <c r="H13" s="283"/>
    </row>
    <row r="14" spans="1:9" ht="15" customHeight="1" thickBot="1" x14ac:dyDescent="0.3">
      <c r="A14" s="132"/>
      <c r="B14" s="533"/>
      <c r="C14" s="131"/>
      <c r="D14" s="352">
        <v>10020</v>
      </c>
      <c r="F14" s="351">
        <v>0.04</v>
      </c>
      <c r="G14" s="283"/>
      <c r="H14" s="351">
        <v>3.6200000000000003E-2</v>
      </c>
    </row>
    <row r="15" spans="1:9" ht="6" customHeight="1" thickBot="1" x14ac:dyDescent="0.3">
      <c r="B15" s="533"/>
      <c r="C15" s="131"/>
      <c r="D15" s="289"/>
      <c r="F15" s="283"/>
      <c r="G15" s="283"/>
      <c r="H15" s="283"/>
    </row>
    <row r="16" spans="1:9" ht="15" customHeight="1" thickBot="1" x14ac:dyDescent="0.3">
      <c r="B16" s="533"/>
      <c r="C16" s="131"/>
      <c r="D16" s="352">
        <v>15000</v>
      </c>
      <c r="F16" s="351">
        <v>4.0399999999999998E-2</v>
      </c>
      <c r="G16" s="283"/>
      <c r="H16" s="351">
        <v>3.7900000000000003E-2</v>
      </c>
    </row>
    <row r="17" spans="2:8" ht="6" customHeight="1" thickBot="1" x14ac:dyDescent="0.3">
      <c r="B17" s="533"/>
      <c r="C17" s="131"/>
      <c r="D17" s="289"/>
      <c r="F17" s="283"/>
      <c r="G17" s="283"/>
      <c r="H17" s="283"/>
    </row>
    <row r="18" spans="2:8" ht="15" customHeight="1" thickBot="1" x14ac:dyDescent="0.3">
      <c r="B18" s="533"/>
      <c r="C18" s="131"/>
      <c r="D18" s="352">
        <v>30000</v>
      </c>
      <c r="F18" s="351">
        <v>4.0500000000000001E-2</v>
      </c>
      <c r="G18" s="283"/>
      <c r="H18" s="351">
        <v>3.9199999999999999E-2</v>
      </c>
    </row>
    <row r="19" spans="2:8" ht="11.45" customHeight="1" x14ac:dyDescent="0.25">
      <c r="B19" s="533"/>
      <c r="D19" s="529" t="s">
        <v>308</v>
      </c>
      <c r="E19" s="529"/>
      <c r="F19" s="529"/>
      <c r="G19" s="529"/>
      <c r="H19" s="529"/>
    </row>
    <row r="20" spans="2:8" ht="10.5" customHeight="1" x14ac:dyDescent="0.25">
      <c r="D20" s="528" t="s">
        <v>375</v>
      </c>
      <c r="E20" s="528"/>
      <c r="F20" s="528"/>
      <c r="G20" s="528"/>
      <c r="H20" s="528"/>
    </row>
  </sheetData>
  <sheetProtection algorithmName="SHA-512" hashValue="9DsvfEG9DdcCNAruuVLHBZ6LhTzOcExRLDsNuJ3mf7/p5SCdLfCTDD6bCsgL8vMwF25/OwFAN3S9tRTWHiETXw==" saltValue="DihNFWwoEOlLXwGa14U9Gw==" spinCount="100000" sheet="1" objects="1" scenarios="1"/>
  <mergeCells count="4">
    <mergeCell ref="D20:H20"/>
    <mergeCell ref="D19:H19"/>
    <mergeCell ref="D3:H3"/>
    <mergeCell ref="B6:B19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BD4E-03C1-4438-B8C0-2E89346C25DF}">
  <sheetPr>
    <pageSetUpPr fitToPage="1"/>
  </sheetPr>
  <dimension ref="A1:P47"/>
  <sheetViews>
    <sheetView showGridLines="0" zoomScaleNormal="100" workbookViewId="0">
      <selection sqref="A1:L1"/>
    </sheetView>
  </sheetViews>
  <sheetFormatPr defaultRowHeight="15.75" x14ac:dyDescent="0.25"/>
  <cols>
    <col min="1" max="1" width="6" style="155" bestFit="1" customWidth="1"/>
    <col min="2" max="2" width="37.5703125" customWidth="1"/>
    <col min="3" max="3" width="6.7109375" customWidth="1"/>
    <col min="4" max="4" width="10.7109375" customWidth="1"/>
    <col min="5" max="5" width="6.7109375" customWidth="1"/>
    <col min="6" max="6" width="37.7109375" customWidth="1"/>
    <col min="7" max="9" width="7.28515625" style="178" customWidth="1"/>
    <col min="10" max="10" width="42" style="178" customWidth="1"/>
    <col min="11" max="11" width="7.28515625" style="178" customWidth="1"/>
    <col min="12" max="12" width="43.5703125" customWidth="1"/>
  </cols>
  <sheetData>
    <row r="1" spans="1:12" ht="31.5" x14ac:dyDescent="0.25">
      <c r="A1" s="534" t="str">
        <f>'Mota Engil 2024-2029'!B2</f>
        <v>Obrigações Mota-Engil 2029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</row>
    <row r="2" spans="1:12" ht="21" customHeight="1" x14ac:dyDescent="0.2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23.45" customHeight="1" x14ac:dyDescent="0.25">
      <c r="A3" s="535" t="s">
        <v>208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</row>
    <row r="4" spans="1:12" ht="24" customHeight="1" x14ac:dyDescent="0.25">
      <c r="G4" s="187"/>
      <c r="H4" s="187"/>
      <c r="I4" s="187"/>
      <c r="J4" s="187"/>
      <c r="K4" s="187"/>
    </row>
    <row r="5" spans="1:12" ht="63" customHeight="1" x14ac:dyDescent="0.25">
      <c r="A5" s="156" t="s">
        <v>147</v>
      </c>
      <c r="B5" s="157" t="s">
        <v>148</v>
      </c>
      <c r="C5" s="181" t="s">
        <v>201</v>
      </c>
      <c r="D5" s="158" t="s">
        <v>149</v>
      </c>
      <c r="E5" s="180" t="s">
        <v>201</v>
      </c>
      <c r="F5" s="159" t="s">
        <v>228</v>
      </c>
      <c r="G5" s="156"/>
      <c r="H5" s="156"/>
      <c r="I5" s="156"/>
      <c r="J5"/>
      <c r="K5" s="156"/>
    </row>
    <row r="6" spans="1:12" ht="24" customHeight="1" x14ac:dyDescent="0.25">
      <c r="B6" s="193" t="s">
        <v>199</v>
      </c>
      <c r="G6" s="156"/>
      <c r="H6" s="156"/>
      <c r="I6" s="156"/>
      <c r="J6" s="156"/>
      <c r="K6" s="156"/>
    </row>
    <row r="7" spans="1:12" ht="42" customHeight="1" x14ac:dyDescent="0.25">
      <c r="B7" s="160" t="s">
        <v>150</v>
      </c>
      <c r="J7" s="156"/>
    </row>
    <row r="8" spans="1:12" ht="24" customHeight="1" x14ac:dyDescent="0.25">
      <c r="A8" s="156"/>
      <c r="B8" s="193" t="s">
        <v>199</v>
      </c>
      <c r="G8" s="156"/>
      <c r="H8" s="156"/>
      <c r="I8" s="156"/>
      <c r="J8" s="156"/>
    </row>
    <row r="9" spans="1:12" ht="90" x14ac:dyDescent="0.25">
      <c r="A9" s="156" t="s">
        <v>152</v>
      </c>
      <c r="B9" s="157" t="s">
        <v>230</v>
      </c>
      <c r="C9" s="181" t="s">
        <v>201</v>
      </c>
      <c r="D9" s="158" t="s">
        <v>149</v>
      </c>
      <c r="E9" s="180" t="s">
        <v>201</v>
      </c>
      <c r="F9" s="182" t="s">
        <v>197</v>
      </c>
      <c r="G9" s="156"/>
      <c r="H9" s="156"/>
      <c r="I9" s="156"/>
      <c r="J9" s="156"/>
    </row>
    <row r="10" spans="1:12" ht="24" customHeight="1" x14ac:dyDescent="0.25">
      <c r="A10" s="156"/>
      <c r="B10" s="193" t="s">
        <v>199</v>
      </c>
      <c r="G10" s="156"/>
      <c r="H10" s="156"/>
      <c r="I10" s="156"/>
      <c r="J10" s="156"/>
    </row>
    <row r="11" spans="1:12" ht="42" customHeight="1" x14ac:dyDescent="0.25">
      <c r="A11" s="156"/>
      <c r="B11" s="160" t="s">
        <v>150</v>
      </c>
    </row>
    <row r="12" spans="1:12" ht="32.25" x14ac:dyDescent="0.25">
      <c r="A12" s="156"/>
      <c r="B12" s="193" t="s">
        <v>199</v>
      </c>
      <c r="G12" s="156"/>
      <c r="H12" s="156"/>
      <c r="I12" s="156"/>
      <c r="J12" s="156"/>
    </row>
    <row r="13" spans="1:12" ht="89.45" customHeight="1" thickBot="1" x14ac:dyDescent="0.3">
      <c r="A13" s="156" t="s">
        <v>155</v>
      </c>
      <c r="B13" s="157" t="s">
        <v>229</v>
      </c>
      <c r="C13" s="181" t="s">
        <v>201</v>
      </c>
      <c r="D13" s="158" t="s">
        <v>149</v>
      </c>
      <c r="E13" s="180" t="s">
        <v>201</v>
      </c>
      <c r="F13" s="183" t="s">
        <v>301</v>
      </c>
    </row>
    <row r="14" spans="1:12" ht="33.75" thickTop="1" thickBot="1" x14ac:dyDescent="0.3">
      <c r="A14" s="156"/>
      <c r="B14" s="193" t="s">
        <v>199</v>
      </c>
      <c r="E14" s="179"/>
      <c r="F14" s="180" t="s">
        <v>199</v>
      </c>
      <c r="G14" s="156"/>
      <c r="H14" s="156"/>
      <c r="I14" s="156"/>
      <c r="J14" s="156"/>
      <c r="L14" s="189" t="s">
        <v>221</v>
      </c>
    </row>
    <row r="15" spans="1:12" ht="81.599999999999994" customHeight="1" thickTop="1" x14ac:dyDescent="0.25">
      <c r="A15" s="156"/>
      <c r="B15" s="160" t="s">
        <v>150</v>
      </c>
      <c r="E15" s="156" t="s">
        <v>235</v>
      </c>
      <c r="F15" s="183" t="s">
        <v>231</v>
      </c>
    </row>
    <row r="16" spans="1:12" ht="31.9" customHeight="1" x14ac:dyDescent="0.25">
      <c r="A16" s="156"/>
      <c r="B16" s="179"/>
      <c r="F16" s="179" t="s">
        <v>199</v>
      </c>
      <c r="J16" s="156"/>
      <c r="K16" s="156" t="s">
        <v>289</v>
      </c>
      <c r="L16" s="536" t="s">
        <v>388</v>
      </c>
    </row>
    <row r="17" spans="1:16" ht="84" x14ac:dyDescent="0.25">
      <c r="B17" s="192"/>
      <c r="C17" s="181"/>
      <c r="E17" s="156" t="s">
        <v>236</v>
      </c>
      <c r="F17" s="157" t="s">
        <v>225</v>
      </c>
      <c r="G17" s="181" t="s">
        <v>201</v>
      </c>
      <c r="H17" s="158" t="s">
        <v>149</v>
      </c>
      <c r="I17" s="181" t="s">
        <v>201</v>
      </c>
      <c r="J17" s="183" t="s">
        <v>274</v>
      </c>
      <c r="K17" s="156"/>
      <c r="L17" s="537"/>
    </row>
    <row r="18" spans="1:16" ht="32.25" x14ac:dyDescent="0.25">
      <c r="A18" s="156"/>
      <c r="B18" s="179"/>
      <c r="F18" s="179" t="s">
        <v>199</v>
      </c>
      <c r="H18" s="194" t="s">
        <v>204</v>
      </c>
      <c r="J18" s="179" t="s">
        <v>199</v>
      </c>
      <c r="K18" s="156"/>
      <c r="L18" s="537"/>
    </row>
    <row r="19" spans="1:16" ht="32.25" x14ac:dyDescent="0.25">
      <c r="A19" s="156"/>
      <c r="B19" s="179"/>
      <c r="F19" s="160" t="s">
        <v>150</v>
      </c>
      <c r="H19" s="158" t="s">
        <v>149</v>
      </c>
      <c r="I19" s="181" t="s">
        <v>206</v>
      </c>
      <c r="J19" s="183" t="s">
        <v>232</v>
      </c>
      <c r="L19" s="538"/>
    </row>
    <row r="20" spans="1:16" ht="32.25" x14ac:dyDescent="0.25">
      <c r="A20" s="156"/>
      <c r="B20" s="179"/>
      <c r="F20" s="179" t="s">
        <v>199</v>
      </c>
      <c r="J20" s="179" t="s">
        <v>199</v>
      </c>
      <c r="K20" s="156"/>
      <c r="L20" s="193" t="s">
        <v>204</v>
      </c>
    </row>
    <row r="21" spans="1:16" ht="44.45" customHeight="1" x14ac:dyDescent="0.25">
      <c r="A21" s="156"/>
      <c r="B21" s="179"/>
      <c r="C21" s="179"/>
      <c r="D21" s="179"/>
      <c r="E21" s="156" t="s">
        <v>240</v>
      </c>
      <c r="F21" s="159" t="s">
        <v>302</v>
      </c>
      <c r="H21" s="179" t="s">
        <v>206</v>
      </c>
      <c r="J21" s="160" t="s">
        <v>150</v>
      </c>
      <c r="K21" s="156" t="s">
        <v>158</v>
      </c>
      <c r="L21" s="157" t="s">
        <v>233</v>
      </c>
      <c r="P21" s="179"/>
    </row>
    <row r="22" spans="1:16" ht="24" customHeight="1" x14ac:dyDescent="0.25">
      <c r="A22" s="156"/>
      <c r="B22" s="179"/>
      <c r="J22" s="156"/>
      <c r="K22" s="156"/>
      <c r="L22" s="193" t="s">
        <v>204</v>
      </c>
    </row>
    <row r="23" spans="1:16" ht="85.9" customHeight="1" x14ac:dyDescent="0.25">
      <c r="A23" s="156"/>
      <c r="B23" s="157" t="s">
        <v>275</v>
      </c>
      <c r="C23" s="180" t="s">
        <v>206</v>
      </c>
      <c r="D23" s="180" t="s">
        <v>200</v>
      </c>
      <c r="E23" s="180" t="s">
        <v>201</v>
      </c>
      <c r="F23" s="184" t="s">
        <v>278</v>
      </c>
      <c r="J23" s="156"/>
      <c r="K23" s="156" t="s">
        <v>160</v>
      </c>
      <c r="L23" s="161" t="s">
        <v>222</v>
      </c>
    </row>
    <row r="24" spans="1:16" ht="24" customHeight="1" x14ac:dyDescent="0.25">
      <c r="A24" s="156"/>
      <c r="B24" s="193" t="s">
        <v>199</v>
      </c>
      <c r="J24" s="156"/>
      <c r="K24" s="156"/>
      <c r="L24" s="193" t="s">
        <v>204</v>
      </c>
    </row>
    <row r="25" spans="1:16" ht="91.5" customHeight="1" x14ac:dyDescent="0.25">
      <c r="A25" s="156" t="s">
        <v>157</v>
      </c>
      <c r="B25" s="157" t="s">
        <v>276</v>
      </c>
      <c r="C25" s="181" t="s">
        <v>201</v>
      </c>
      <c r="D25" s="158" t="s">
        <v>149</v>
      </c>
      <c r="E25" s="181" t="s">
        <v>201</v>
      </c>
      <c r="F25" s="183" t="s">
        <v>277</v>
      </c>
      <c r="J25" s="156"/>
      <c r="K25" s="156" t="s">
        <v>162</v>
      </c>
      <c r="L25" s="161" t="s">
        <v>389</v>
      </c>
    </row>
    <row r="26" spans="1:16" ht="24" customHeight="1" x14ac:dyDescent="0.25">
      <c r="A26" s="156"/>
      <c r="B26" s="193" t="s">
        <v>199</v>
      </c>
      <c r="J26" s="156"/>
      <c r="K26" s="156"/>
      <c r="L26" s="193" t="s">
        <v>204</v>
      </c>
    </row>
    <row r="27" spans="1:16" ht="41.45" customHeight="1" x14ac:dyDescent="0.25">
      <c r="A27" s="156"/>
      <c r="B27" s="160" t="s">
        <v>150</v>
      </c>
      <c r="J27" s="156"/>
      <c r="K27" s="156" t="s">
        <v>288</v>
      </c>
      <c r="L27" s="157" t="s">
        <v>243</v>
      </c>
    </row>
    <row r="28" spans="1:16" ht="24" customHeight="1" x14ac:dyDescent="0.25">
      <c r="A28" s="156"/>
      <c r="B28" s="193" t="s">
        <v>199</v>
      </c>
      <c r="J28" s="156"/>
      <c r="K28" s="156"/>
      <c r="L28" s="193" t="s">
        <v>204</v>
      </c>
    </row>
    <row r="29" spans="1:16" ht="60" x14ac:dyDescent="0.25">
      <c r="A29" s="156" t="s">
        <v>161</v>
      </c>
      <c r="B29" s="177" t="s">
        <v>182</v>
      </c>
      <c r="C29" s="180" t="s">
        <v>206</v>
      </c>
      <c r="D29" s="180" t="s">
        <v>200</v>
      </c>
      <c r="E29" s="180" t="s">
        <v>201</v>
      </c>
      <c r="F29" s="184" t="s">
        <v>198</v>
      </c>
      <c r="J29" s="156"/>
      <c r="K29" s="156" t="s">
        <v>287</v>
      </c>
      <c r="L29" s="185" t="s">
        <v>205</v>
      </c>
    </row>
    <row r="30" spans="1:16" ht="24" customHeight="1" x14ac:dyDescent="0.25">
      <c r="A30" s="156"/>
      <c r="B30" s="193" t="s">
        <v>199</v>
      </c>
      <c r="L30" s="193" t="s">
        <v>204</v>
      </c>
    </row>
    <row r="31" spans="1:16" ht="60" x14ac:dyDescent="0.25">
      <c r="A31" s="156" t="s">
        <v>279</v>
      </c>
      <c r="B31" s="157" t="s">
        <v>220</v>
      </c>
      <c r="C31" s="181" t="s">
        <v>201</v>
      </c>
      <c r="D31" s="158" t="s">
        <v>149</v>
      </c>
      <c r="E31" s="181" t="s">
        <v>201</v>
      </c>
      <c r="F31" s="183" t="s">
        <v>202</v>
      </c>
      <c r="J31" s="156"/>
      <c r="K31" s="156" t="s">
        <v>286</v>
      </c>
      <c r="L31" s="159" t="s">
        <v>210</v>
      </c>
    </row>
    <row r="32" spans="1:16" ht="24" customHeight="1" x14ac:dyDescent="0.25">
      <c r="A32" s="156"/>
      <c r="B32" s="193" t="s">
        <v>199</v>
      </c>
      <c r="J32" s="156"/>
      <c r="K32" s="156"/>
      <c r="L32" s="193" t="s">
        <v>204</v>
      </c>
    </row>
    <row r="33" spans="1:12" ht="42" customHeight="1" x14ac:dyDescent="0.25">
      <c r="A33" s="156"/>
      <c r="B33" s="160" t="s">
        <v>150</v>
      </c>
      <c r="J33" s="156"/>
      <c r="K33" s="156" t="s">
        <v>285</v>
      </c>
      <c r="L33" s="159" t="s">
        <v>207</v>
      </c>
    </row>
    <row r="34" spans="1:12" ht="24" customHeight="1" x14ac:dyDescent="0.25">
      <c r="A34" s="156"/>
      <c r="B34" s="193" t="s">
        <v>199</v>
      </c>
      <c r="J34" s="156"/>
      <c r="K34" s="156"/>
      <c r="L34" s="179" t="s">
        <v>204</v>
      </c>
    </row>
    <row r="35" spans="1:12" ht="37.15" customHeight="1" x14ac:dyDescent="0.25">
      <c r="A35" s="156" t="s">
        <v>164</v>
      </c>
      <c r="B35" s="159" t="s">
        <v>227</v>
      </c>
      <c r="C35" s="180"/>
      <c r="D35" s="180"/>
      <c r="E35" s="180"/>
      <c r="J35" s="156"/>
      <c r="K35" s="156" t="s">
        <v>284</v>
      </c>
      <c r="L35" s="186" t="s">
        <v>181</v>
      </c>
    </row>
    <row r="36" spans="1:12" ht="24" customHeight="1" x14ac:dyDescent="0.35">
      <c r="A36" s="156"/>
      <c r="B36" s="193" t="s">
        <v>199</v>
      </c>
      <c r="C36" s="156"/>
      <c r="D36" s="156"/>
      <c r="E36" s="156"/>
      <c r="F36" s="176"/>
      <c r="J36" s="156"/>
      <c r="K36" s="156"/>
      <c r="L36" s="193" t="s">
        <v>204</v>
      </c>
    </row>
    <row r="37" spans="1:12" ht="45" x14ac:dyDescent="0.25">
      <c r="A37" s="156" t="s">
        <v>280</v>
      </c>
      <c r="B37" s="159" t="s">
        <v>211</v>
      </c>
      <c r="J37" s="156"/>
      <c r="K37" s="156" t="s">
        <v>283</v>
      </c>
      <c r="L37" s="185" t="s">
        <v>209</v>
      </c>
    </row>
    <row r="38" spans="1:12" ht="24" customHeight="1" thickBot="1" x14ac:dyDescent="0.3">
      <c r="B38" s="179" t="s">
        <v>199</v>
      </c>
      <c r="L38" s="193" t="s">
        <v>204</v>
      </c>
    </row>
    <row r="39" spans="1:12" ht="46.5" thickTop="1" thickBot="1" x14ac:dyDescent="0.3">
      <c r="A39" s="156" t="s">
        <v>281</v>
      </c>
      <c r="B39" s="188" t="s">
        <v>203</v>
      </c>
      <c r="C39" s="193"/>
      <c r="D39" s="193"/>
      <c r="E39" s="193"/>
      <c r="F39" s="193"/>
      <c r="J39" s="156"/>
      <c r="K39" s="156" t="s">
        <v>282</v>
      </c>
      <c r="L39" s="190" t="s">
        <v>186</v>
      </c>
    </row>
    <row r="40" spans="1:12" ht="69.599999999999994" customHeight="1" x14ac:dyDescent="0.25">
      <c r="G40" s="156"/>
      <c r="H40" s="156"/>
      <c r="I40" s="156"/>
      <c r="J40" s="156"/>
      <c r="K40" s="156"/>
    </row>
    <row r="41" spans="1:12" ht="32.25" x14ac:dyDescent="0.25">
      <c r="A41" s="156"/>
      <c r="C41" s="156"/>
      <c r="D41" s="179"/>
      <c r="E41" s="156"/>
    </row>
    <row r="42" spans="1:12" ht="41.45" customHeight="1" x14ac:dyDescent="0.25">
      <c r="A42" s="156"/>
      <c r="B42" s="156"/>
      <c r="C42" s="156"/>
      <c r="D42" s="156"/>
      <c r="E42" s="156"/>
      <c r="G42" s="156"/>
      <c r="H42" s="156"/>
      <c r="I42" s="156"/>
      <c r="J42" s="156"/>
      <c r="K42" s="156"/>
    </row>
    <row r="43" spans="1:12" ht="24" customHeight="1" x14ac:dyDescent="0.25">
      <c r="A43" s="156"/>
      <c r="B43" s="156"/>
      <c r="C43" s="156"/>
      <c r="D43" s="156"/>
      <c r="E43" s="156"/>
      <c r="G43" s="156"/>
      <c r="H43" s="156"/>
      <c r="I43" s="156"/>
      <c r="J43" s="156"/>
      <c r="K43" s="156"/>
    </row>
    <row r="44" spans="1:12" ht="24" customHeight="1" x14ac:dyDescent="0.25">
      <c r="C44" s="156"/>
      <c r="D44" s="156"/>
      <c r="E44" s="156"/>
      <c r="G44" s="156"/>
      <c r="H44" s="156"/>
      <c r="I44" s="156"/>
      <c r="J44" s="156"/>
      <c r="K44" s="156"/>
    </row>
    <row r="45" spans="1:12" ht="30" customHeight="1" x14ac:dyDescent="0.25">
      <c r="C45" s="156"/>
      <c r="D45" s="156"/>
      <c r="E45" s="156"/>
      <c r="G45" s="156"/>
      <c r="H45" s="156"/>
      <c r="I45" s="156"/>
      <c r="J45" s="156"/>
      <c r="K45" s="156"/>
    </row>
    <row r="47" spans="1:12" x14ac:dyDescent="0.25">
      <c r="A47" s="156"/>
      <c r="B47" s="156"/>
      <c r="C47" s="156"/>
      <c r="D47" s="156"/>
      <c r="E47" s="156"/>
    </row>
  </sheetData>
  <sheetProtection algorithmName="SHA-512" hashValue="Qv7f9/ebaOAa91PGXteAoS1hvCYVCRA2PabxdwHt7STgptGSdQ5g/8hQdZO4IrxBJYE3NIfskyylDcH0wqTAFQ==" saltValue="dQoc7TF58MeJDlO1Yp+yLQ==" spinCount="100000" sheet="1" objects="1" scenarios="1"/>
  <mergeCells count="3">
    <mergeCell ref="A1:L1"/>
    <mergeCell ref="A3:L3"/>
    <mergeCell ref="L16:L19"/>
  </mergeCells>
  <pageMargins left="0.25" right="0.25" top="0.75" bottom="0.75" header="0.3" footer="0.3"/>
  <pageSetup paperSize="9"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0A9-FFCB-4C6C-BA76-DD1D96B49686}">
  <sheetPr>
    <pageSetUpPr fitToPage="1"/>
  </sheetPr>
  <dimension ref="A1:H71"/>
  <sheetViews>
    <sheetView workbookViewId="0">
      <selection activeCell="C11" sqref="C11"/>
    </sheetView>
  </sheetViews>
  <sheetFormatPr defaultRowHeight="23.25" x14ac:dyDescent="0.25"/>
  <cols>
    <col min="1" max="1" width="5.85546875" style="175" bestFit="1" customWidth="1"/>
    <col min="2" max="2" width="8.85546875" style="128"/>
    <col min="3" max="3" width="130.28515625" style="174" customWidth="1"/>
    <col min="4" max="4" width="5.5703125" style="169" customWidth="1"/>
  </cols>
  <sheetData>
    <row r="1" spans="1:8" ht="15" customHeight="1" x14ac:dyDescent="0.25">
      <c r="A1" s="539" t="str">
        <f>'Mota Engil 2024-2029'!B2</f>
        <v>Obrigações Mota-Engil 2029</v>
      </c>
      <c r="B1" s="540"/>
      <c r="C1" s="540"/>
      <c r="D1" s="540"/>
      <c r="E1" s="162"/>
      <c r="F1" s="162"/>
      <c r="G1" s="153"/>
      <c r="H1" s="154"/>
    </row>
    <row r="2" spans="1:8" ht="15.6" customHeight="1" x14ac:dyDescent="0.25">
      <c r="A2" s="541"/>
      <c r="B2" s="542"/>
      <c r="C2" s="542"/>
      <c r="D2" s="542"/>
      <c r="E2" s="162"/>
      <c r="F2" s="162"/>
      <c r="H2" s="154"/>
    </row>
    <row r="3" spans="1:8" ht="32.450000000000003" customHeight="1" x14ac:dyDescent="0.25">
      <c r="A3" s="544" t="s">
        <v>167</v>
      </c>
      <c r="B3" s="544"/>
      <c r="C3" s="544"/>
      <c r="D3" s="544"/>
    </row>
    <row r="4" spans="1:8" ht="25.5" x14ac:dyDescent="0.25">
      <c r="A4" s="163" t="s">
        <v>147</v>
      </c>
      <c r="B4" s="543" t="s">
        <v>168</v>
      </c>
      <c r="C4" s="543"/>
      <c r="D4" s="164" t="s">
        <v>169</v>
      </c>
    </row>
    <row r="5" spans="1:8" ht="25.5" x14ac:dyDescent="0.25">
      <c r="A5" s="163"/>
      <c r="B5" s="165" t="s">
        <v>170</v>
      </c>
      <c r="C5" s="166" t="s">
        <v>193</v>
      </c>
      <c r="D5" s="164"/>
    </row>
    <row r="6" spans="1:8" ht="18.75" x14ac:dyDescent="0.25">
      <c r="A6" s="163"/>
      <c r="B6" s="168" t="s">
        <v>172</v>
      </c>
      <c r="C6" s="174" t="s">
        <v>238</v>
      </c>
      <c r="D6"/>
      <c r="G6" s="170"/>
    </row>
    <row r="7" spans="1:8" ht="25.5" x14ac:dyDescent="0.25">
      <c r="A7" s="163" t="s">
        <v>152</v>
      </c>
      <c r="B7" s="543" t="s">
        <v>184</v>
      </c>
      <c r="C7" s="543"/>
      <c r="D7" s="164" t="s">
        <v>169</v>
      </c>
      <c r="G7" s="170"/>
    </row>
    <row r="8" spans="1:8" ht="61.5" x14ac:dyDescent="0.25">
      <c r="A8" s="163"/>
      <c r="B8" s="165" t="s">
        <v>170</v>
      </c>
      <c r="C8" s="166" t="s">
        <v>234</v>
      </c>
      <c r="D8" s="164"/>
      <c r="G8" s="170"/>
    </row>
    <row r="9" spans="1:8" ht="18.75" x14ac:dyDescent="0.25">
      <c r="A9" s="163"/>
      <c r="B9" s="168" t="s">
        <v>172</v>
      </c>
      <c r="C9" s="174" t="s">
        <v>238</v>
      </c>
      <c r="D9"/>
      <c r="G9" s="170"/>
    </row>
    <row r="10" spans="1:8" ht="25.5" x14ac:dyDescent="0.25">
      <c r="A10" s="171" t="s">
        <v>155</v>
      </c>
      <c r="B10" s="543" t="s">
        <v>194</v>
      </c>
      <c r="C10" s="543"/>
      <c r="D10" s="164" t="s">
        <v>169</v>
      </c>
      <c r="G10" s="170"/>
    </row>
    <row r="11" spans="1:8" ht="30.75" x14ac:dyDescent="0.25">
      <c r="A11" s="163"/>
      <c r="B11" s="165" t="s">
        <v>170</v>
      </c>
      <c r="C11" s="166" t="s">
        <v>387</v>
      </c>
      <c r="D11" s="164"/>
      <c r="G11" s="170"/>
    </row>
    <row r="12" spans="1:8" ht="18.75" x14ac:dyDescent="0.25">
      <c r="A12" s="163"/>
      <c r="B12" s="168" t="s">
        <v>172</v>
      </c>
      <c r="C12" s="174" t="s">
        <v>239</v>
      </c>
      <c r="D12"/>
      <c r="G12" s="170"/>
    </row>
    <row r="13" spans="1:8" ht="33.75" customHeight="1" x14ac:dyDescent="0.25">
      <c r="A13" s="171" t="s">
        <v>235</v>
      </c>
      <c r="B13" s="543" t="s">
        <v>363</v>
      </c>
      <c r="C13" s="543"/>
      <c r="D13" s="164" t="s">
        <v>169</v>
      </c>
      <c r="G13" s="170"/>
    </row>
    <row r="14" spans="1:8" ht="27.75" x14ac:dyDescent="0.25">
      <c r="A14" s="163"/>
      <c r="B14" s="165"/>
      <c r="C14" s="166" t="s">
        <v>304</v>
      </c>
      <c r="D14" s="164"/>
    </row>
    <row r="15" spans="1:8" ht="25.5" x14ac:dyDescent="0.25">
      <c r="A15" s="171" t="s">
        <v>236</v>
      </c>
      <c r="B15" s="543" t="s">
        <v>226</v>
      </c>
      <c r="C15" s="543"/>
      <c r="D15" s="164" t="s">
        <v>169</v>
      </c>
    </row>
    <row r="16" spans="1:8" ht="30" x14ac:dyDescent="0.25">
      <c r="B16" s="165" t="s">
        <v>170</v>
      </c>
      <c r="C16" s="174" t="s">
        <v>237</v>
      </c>
      <c r="D16"/>
    </row>
    <row r="17" spans="1:4" ht="18.75" x14ac:dyDescent="0.25">
      <c r="B17" s="168" t="s">
        <v>172</v>
      </c>
      <c r="C17" s="174" t="s">
        <v>238</v>
      </c>
      <c r="D17"/>
    </row>
    <row r="18" spans="1:4" ht="25.5" x14ac:dyDescent="0.25">
      <c r="A18" s="171" t="s">
        <v>240</v>
      </c>
      <c r="B18" s="543" t="s">
        <v>305</v>
      </c>
      <c r="C18" s="543"/>
      <c r="D18" s="164" t="s">
        <v>169</v>
      </c>
    </row>
    <row r="19" spans="1:4" ht="25.5" x14ac:dyDescent="0.25">
      <c r="A19" s="163" t="s">
        <v>157</v>
      </c>
      <c r="B19" s="543" t="s">
        <v>306</v>
      </c>
      <c r="C19" s="543"/>
      <c r="D19" s="164" t="s">
        <v>169</v>
      </c>
    </row>
    <row r="20" spans="1:4" ht="18.75" x14ac:dyDescent="0.25">
      <c r="B20" s="165" t="s">
        <v>170</v>
      </c>
      <c r="C20" s="174" t="s">
        <v>290</v>
      </c>
      <c r="D20"/>
    </row>
    <row r="21" spans="1:4" ht="18.75" x14ac:dyDescent="0.25">
      <c r="B21" s="168" t="s">
        <v>172</v>
      </c>
      <c r="C21" s="174" t="s">
        <v>238</v>
      </c>
      <c r="D21"/>
    </row>
    <row r="22" spans="1:4" ht="25.5" x14ac:dyDescent="0.25">
      <c r="A22" s="163" t="s">
        <v>161</v>
      </c>
      <c r="B22" s="543" t="s">
        <v>364</v>
      </c>
      <c r="C22" s="543"/>
      <c r="D22" s="164" t="s">
        <v>169</v>
      </c>
    </row>
    <row r="23" spans="1:4" ht="31.5" hidden="1" customHeight="1" x14ac:dyDescent="0.25">
      <c r="A23" s="163" t="s">
        <v>161</v>
      </c>
      <c r="B23" s="543" t="s">
        <v>173</v>
      </c>
      <c r="C23" s="543"/>
      <c r="D23" s="164" t="s">
        <v>169</v>
      </c>
    </row>
    <row r="24" spans="1:4" ht="33.75" hidden="1" customHeight="1" x14ac:dyDescent="0.25">
      <c r="A24" s="163"/>
      <c r="B24" s="165" t="s">
        <v>170</v>
      </c>
      <c r="C24" s="166" t="s">
        <v>174</v>
      </c>
      <c r="D24"/>
    </row>
    <row r="25" spans="1:4" ht="18.75" hidden="1" x14ac:dyDescent="0.25">
      <c r="A25" s="163"/>
      <c r="B25" s="168" t="s">
        <v>172</v>
      </c>
      <c r="C25" s="172"/>
      <c r="D25"/>
    </row>
    <row r="26" spans="1:4" ht="25.5" hidden="1" x14ac:dyDescent="0.25">
      <c r="A26" s="163" t="s">
        <v>165</v>
      </c>
      <c r="B26" s="543" t="s">
        <v>175</v>
      </c>
      <c r="C26" s="543"/>
      <c r="D26" s="164" t="s">
        <v>169</v>
      </c>
    </row>
    <row r="27" spans="1:4" ht="30.75" hidden="1" x14ac:dyDescent="0.25">
      <c r="A27" s="163"/>
      <c r="B27" s="165" t="s">
        <v>170</v>
      </c>
      <c r="C27" s="166" t="s">
        <v>176</v>
      </c>
      <c r="D27"/>
    </row>
    <row r="28" spans="1:4" ht="18.75" hidden="1" x14ac:dyDescent="0.25">
      <c r="A28" s="163"/>
      <c r="B28" s="168" t="s">
        <v>172</v>
      </c>
      <c r="C28" s="166"/>
      <c r="D28"/>
    </row>
    <row r="29" spans="1:4" ht="25.5" x14ac:dyDescent="0.25">
      <c r="A29" s="163" t="s">
        <v>165</v>
      </c>
      <c r="B29" s="543" t="s">
        <v>189</v>
      </c>
      <c r="C29" s="543"/>
      <c r="D29" s="164" t="s">
        <v>169</v>
      </c>
    </row>
    <row r="30" spans="1:4" ht="32.450000000000003" customHeight="1" x14ac:dyDescent="0.25">
      <c r="A30" s="163"/>
      <c r="B30" s="165" t="s">
        <v>170</v>
      </c>
      <c r="C30" s="166" t="s">
        <v>195</v>
      </c>
      <c r="D30" s="164"/>
    </row>
    <row r="31" spans="1:4" ht="18.75" x14ac:dyDescent="0.25">
      <c r="A31" s="163"/>
      <c r="B31" s="168" t="s">
        <v>172</v>
      </c>
      <c r="C31" s="174" t="s">
        <v>238</v>
      </c>
      <c r="D31"/>
    </row>
    <row r="32" spans="1:4" ht="25.5" x14ac:dyDescent="0.25">
      <c r="A32" s="163" t="s">
        <v>166</v>
      </c>
      <c r="B32" s="543" t="s">
        <v>190</v>
      </c>
      <c r="C32" s="543"/>
      <c r="D32" s="164" t="s">
        <v>169</v>
      </c>
    </row>
    <row r="33" spans="1:4" ht="31.5" x14ac:dyDescent="0.25">
      <c r="A33" s="163"/>
      <c r="B33" s="165" t="s">
        <v>170</v>
      </c>
      <c r="C33" s="166" t="s">
        <v>196</v>
      </c>
      <c r="D33" s="164"/>
    </row>
    <row r="34" spans="1:4" ht="18.75" x14ac:dyDescent="0.25">
      <c r="A34" s="163"/>
      <c r="B34" s="168" t="s">
        <v>172</v>
      </c>
      <c r="C34" s="174" t="s">
        <v>238</v>
      </c>
      <c r="D34"/>
    </row>
    <row r="35" spans="1:4" ht="25.5" x14ac:dyDescent="0.25">
      <c r="A35" s="163" t="s">
        <v>164</v>
      </c>
      <c r="B35" s="543" t="s">
        <v>191</v>
      </c>
      <c r="C35" s="543"/>
      <c r="D35" s="164" t="s">
        <v>169</v>
      </c>
    </row>
    <row r="36" spans="1:4" ht="18.75" x14ac:dyDescent="0.25">
      <c r="B36" s="163" t="s">
        <v>280</v>
      </c>
      <c r="C36" s="174" t="s">
        <v>192</v>
      </c>
      <c r="D36"/>
    </row>
    <row r="37" spans="1:4" ht="18.75" x14ac:dyDescent="0.25">
      <c r="B37" s="163" t="s">
        <v>281</v>
      </c>
      <c r="C37" s="174" t="s">
        <v>185</v>
      </c>
      <c r="D37"/>
    </row>
    <row r="38" spans="1:4" ht="18.75" x14ac:dyDescent="0.25">
      <c r="D38"/>
    </row>
    <row r="39" spans="1:4" ht="18.75" x14ac:dyDescent="0.25">
      <c r="D39"/>
    </row>
    <row r="40" spans="1:4" ht="27" customHeight="1" x14ac:dyDescent="0.25">
      <c r="D40"/>
    </row>
    <row r="41" spans="1:4" ht="18.75" x14ac:dyDescent="0.25">
      <c r="B41" s="163" t="s">
        <v>282</v>
      </c>
      <c r="C41" s="174" t="s">
        <v>186</v>
      </c>
      <c r="D41"/>
    </row>
    <row r="42" spans="1:4" ht="18.75" x14ac:dyDescent="0.25">
      <c r="D42"/>
    </row>
    <row r="43" spans="1:4" ht="18.75" x14ac:dyDescent="0.25">
      <c r="D43"/>
    </row>
    <row r="44" spans="1:4" ht="24" customHeight="1" x14ac:dyDescent="0.25">
      <c r="D44"/>
    </row>
    <row r="45" spans="1:4" ht="24.75" customHeight="1" x14ac:dyDescent="0.25">
      <c r="B45" s="163" t="s">
        <v>283</v>
      </c>
      <c r="C45" s="174" t="s">
        <v>187</v>
      </c>
      <c r="D45"/>
    </row>
    <row r="46" spans="1:4" ht="18.75" x14ac:dyDescent="0.25">
      <c r="B46" s="163" t="s">
        <v>284</v>
      </c>
      <c r="C46" s="174" t="s">
        <v>181</v>
      </c>
      <c r="D46"/>
    </row>
    <row r="47" spans="1:4" ht="18.75" x14ac:dyDescent="0.25">
      <c r="B47" s="163" t="s">
        <v>285</v>
      </c>
      <c r="C47" s="174" t="s">
        <v>241</v>
      </c>
      <c r="D47"/>
    </row>
    <row r="48" spans="1:4" ht="18.75" x14ac:dyDescent="0.25">
      <c r="B48" s="163" t="s">
        <v>286</v>
      </c>
      <c r="C48" s="174" t="s">
        <v>242</v>
      </c>
      <c r="D48"/>
    </row>
    <row r="49" spans="1:4" ht="18.75" x14ac:dyDescent="0.25">
      <c r="B49" s="163" t="s">
        <v>287</v>
      </c>
      <c r="C49" s="174" t="s">
        <v>180</v>
      </c>
      <c r="D49"/>
    </row>
    <row r="50" spans="1:4" ht="18.75" x14ac:dyDescent="0.25">
      <c r="B50" s="163" t="s">
        <v>288</v>
      </c>
      <c r="C50" s="174" t="s">
        <v>188</v>
      </c>
      <c r="D50"/>
    </row>
    <row r="51" spans="1:4" ht="25.5" hidden="1" x14ac:dyDescent="0.25">
      <c r="A51" s="163"/>
      <c r="B51" s="543" t="s">
        <v>163</v>
      </c>
      <c r="C51" s="543"/>
      <c r="D51" s="164" t="s">
        <v>169</v>
      </c>
    </row>
    <row r="52" spans="1:4" ht="38.25" hidden="1" customHeight="1" x14ac:dyDescent="0.25">
      <c r="A52" s="163"/>
      <c r="B52" s="543" t="s">
        <v>177</v>
      </c>
      <c r="C52" s="543"/>
      <c r="D52" s="164" t="s">
        <v>169</v>
      </c>
    </row>
    <row r="53" spans="1:4" ht="25.5" hidden="1" x14ac:dyDescent="0.25">
      <c r="B53" s="543" t="s">
        <v>159</v>
      </c>
      <c r="C53" s="543"/>
      <c r="D53" s="164" t="s">
        <v>169</v>
      </c>
    </row>
    <row r="54" spans="1:4" ht="25.5" hidden="1" x14ac:dyDescent="0.25">
      <c r="A54" s="163"/>
      <c r="B54" s="543" t="s">
        <v>178</v>
      </c>
      <c r="C54" s="543"/>
      <c r="D54" s="164" t="s">
        <v>169</v>
      </c>
    </row>
    <row r="55" spans="1:4" ht="25.5" hidden="1" x14ac:dyDescent="0.25">
      <c r="A55" s="163"/>
      <c r="B55" s="543" t="s">
        <v>179</v>
      </c>
      <c r="C55" s="543"/>
      <c r="D55" s="164" t="s">
        <v>169</v>
      </c>
    </row>
    <row r="56" spans="1:4" ht="32.450000000000003" customHeight="1" x14ac:dyDescent="0.25">
      <c r="A56" s="163" t="s">
        <v>162</v>
      </c>
      <c r="B56" s="543" t="s">
        <v>307</v>
      </c>
      <c r="C56" s="543"/>
      <c r="D56" s="164" t="s">
        <v>169</v>
      </c>
    </row>
    <row r="57" spans="1:4" ht="32.450000000000003" customHeight="1" x14ac:dyDescent="0.25">
      <c r="A57" s="163" t="s">
        <v>160</v>
      </c>
      <c r="B57" s="543" t="s">
        <v>213</v>
      </c>
      <c r="C57" s="543"/>
      <c r="D57" s="164" t="s">
        <v>169</v>
      </c>
    </row>
    <row r="58" spans="1:4" ht="24.6" customHeight="1" x14ac:dyDescent="0.25">
      <c r="A58" s="163" t="s">
        <v>158</v>
      </c>
      <c r="B58" s="543" t="s">
        <v>233</v>
      </c>
      <c r="C58" s="543"/>
      <c r="D58" s="164" t="s">
        <v>169</v>
      </c>
    </row>
    <row r="59" spans="1:4" ht="30" customHeight="1" x14ac:dyDescent="0.25">
      <c r="A59" s="163" t="s">
        <v>289</v>
      </c>
      <c r="B59" s="543" t="s">
        <v>244</v>
      </c>
      <c r="C59" s="543"/>
      <c r="D59" s="164"/>
    </row>
    <row r="60" spans="1:4" ht="24.6" hidden="1" customHeight="1" x14ac:dyDescent="0.25">
      <c r="B60" s="173"/>
      <c r="C60" s="174" t="s">
        <v>291</v>
      </c>
      <c r="D60" s="167" t="s">
        <v>171</v>
      </c>
    </row>
    <row r="61" spans="1:4" hidden="1" x14ac:dyDescent="0.25">
      <c r="A61" s="163" t="s">
        <v>156</v>
      </c>
      <c r="B61" s="173"/>
    </row>
    <row r="62" spans="1:4" hidden="1" x14ac:dyDescent="0.25">
      <c r="A62" s="163" t="s">
        <v>154</v>
      </c>
    </row>
    <row r="63" spans="1:4" hidden="1" x14ac:dyDescent="0.25">
      <c r="A63" s="163" t="s">
        <v>153</v>
      </c>
    </row>
    <row r="64" spans="1:4" hidden="1" x14ac:dyDescent="0.25">
      <c r="A64" s="163" t="s">
        <v>151</v>
      </c>
    </row>
    <row r="65" spans="1:4" hidden="1" x14ac:dyDescent="0.25">
      <c r="A65" s="163" t="s">
        <v>146</v>
      </c>
    </row>
    <row r="66" spans="1:4" ht="22.5" x14ac:dyDescent="0.25">
      <c r="A66" s="163"/>
      <c r="C66" s="174" t="s">
        <v>214</v>
      </c>
      <c r="D66" s="167" t="s">
        <v>171</v>
      </c>
    </row>
    <row r="67" spans="1:4" ht="22.5" x14ac:dyDescent="0.25">
      <c r="A67" s="163"/>
      <c r="C67" s="174" t="s">
        <v>215</v>
      </c>
      <c r="D67" s="167" t="s">
        <v>171</v>
      </c>
    </row>
    <row r="68" spans="1:4" x14ac:dyDescent="0.25">
      <c r="B68" s="543" t="s">
        <v>216</v>
      </c>
      <c r="C68" s="543"/>
    </row>
    <row r="69" spans="1:4" ht="22.5" x14ac:dyDescent="0.25">
      <c r="C69" s="174" t="s">
        <v>217</v>
      </c>
      <c r="D69" s="167" t="s">
        <v>171</v>
      </c>
    </row>
    <row r="70" spans="1:4" ht="22.5" x14ac:dyDescent="0.25">
      <c r="C70" s="174" t="s">
        <v>218</v>
      </c>
      <c r="D70" s="167" t="s">
        <v>171</v>
      </c>
    </row>
    <row r="71" spans="1:4" ht="22.5" x14ac:dyDescent="0.25">
      <c r="C71" s="174" t="s">
        <v>219</v>
      </c>
      <c r="D71" s="167" t="s">
        <v>171</v>
      </c>
    </row>
  </sheetData>
  <sheetProtection algorithmName="SHA-512" hashValue="Sc4RSJgAKDycX0IcmZnikLZAeGPEvp792uoowv2AvD+ufdfjihrLsa2sFD/Sf3K6W4/RjQ9NSanBTwSwukS5JA==" saltValue="iZsJz+YTWjym1B8BKGhiwQ==" spinCount="100000" sheet="1" objects="1" scenarios="1"/>
  <mergeCells count="25">
    <mergeCell ref="B26:C26"/>
    <mergeCell ref="B35:C35"/>
    <mergeCell ref="B51:C51"/>
    <mergeCell ref="B52:C52"/>
    <mergeCell ref="B10:C10"/>
    <mergeCell ref="B15:C15"/>
    <mergeCell ref="B18:C18"/>
    <mergeCell ref="B22:C22"/>
    <mergeCell ref="B23:C23"/>
    <mergeCell ref="A1:D2"/>
    <mergeCell ref="B68:C68"/>
    <mergeCell ref="B53:C53"/>
    <mergeCell ref="B55:C55"/>
    <mergeCell ref="B56:C56"/>
    <mergeCell ref="B29:C29"/>
    <mergeCell ref="B32:C32"/>
    <mergeCell ref="B57:C57"/>
    <mergeCell ref="B58:C58"/>
    <mergeCell ref="B59:C59"/>
    <mergeCell ref="B19:C19"/>
    <mergeCell ref="B13:C13"/>
    <mergeCell ref="B54:C54"/>
    <mergeCell ref="A3:D3"/>
    <mergeCell ref="B4:C4"/>
    <mergeCell ref="B7:C7"/>
  </mergeCells>
  <pageMargins left="0.43307086614173229" right="0.23622047244094491" top="0.35433070866141736" bottom="0.35433070866141736" header="0.31496062992125984" footer="0.31496062992125984"/>
  <pageSetup paperSize="9" scale="6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D2C-5348-40DA-BC29-431557FCFBD4}">
  <dimension ref="B1:Q267"/>
  <sheetViews>
    <sheetView showGridLines="0" zoomScale="115" zoomScaleNormal="115" workbookViewId="0"/>
  </sheetViews>
  <sheetFormatPr defaultRowHeight="15" x14ac:dyDescent="0.25"/>
  <sheetData>
    <row r="1" spans="2:14" ht="27.6" customHeight="1" x14ac:dyDescent="0.25">
      <c r="B1" s="545" t="str">
        <f>"Subscrição de "&amp;'Mota Engil 2024-2029'!B2&amp;" 
no CA Online Particulares"</f>
        <v>Subscrição de Obrigações Mota-Engil 2029 
no CA Online Particulares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</row>
    <row r="2" spans="2:14" ht="27.6" customHeight="1" x14ac:dyDescent="0.25"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</row>
    <row r="4" spans="2:14" ht="18.75" x14ac:dyDescent="0.3">
      <c r="B4" s="222" t="s">
        <v>300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</row>
    <row r="22" spans="2:2" ht="18.75" x14ac:dyDescent="0.3">
      <c r="B22" s="222" t="s">
        <v>292</v>
      </c>
    </row>
    <row r="23" spans="2:2" ht="18.75" x14ac:dyDescent="0.3">
      <c r="B23" s="222"/>
    </row>
    <row r="24" spans="2:2" ht="18.75" x14ac:dyDescent="0.3">
      <c r="B24" s="222"/>
    </row>
    <row r="25" spans="2:2" ht="18.75" x14ac:dyDescent="0.3">
      <c r="B25" s="222"/>
    </row>
    <row r="26" spans="2:2" ht="18.75" x14ac:dyDescent="0.3">
      <c r="B26" s="222"/>
    </row>
    <row r="27" spans="2:2" ht="18.75" x14ac:dyDescent="0.3">
      <c r="B27" s="222"/>
    </row>
    <row r="28" spans="2:2" ht="18.75" x14ac:dyDescent="0.3">
      <c r="B28" s="222"/>
    </row>
    <row r="29" spans="2:2" ht="18.75" x14ac:dyDescent="0.3">
      <c r="B29" s="222"/>
    </row>
    <row r="30" spans="2:2" ht="18.75" x14ac:dyDescent="0.3">
      <c r="B30" s="222"/>
    </row>
    <row r="31" spans="2:2" ht="18.75" x14ac:dyDescent="0.3">
      <c r="B31" s="222"/>
    </row>
    <row r="32" spans="2:2" ht="18.75" x14ac:dyDescent="0.3">
      <c r="B32" s="222"/>
    </row>
    <row r="33" spans="2:2" ht="18.75" x14ac:dyDescent="0.3">
      <c r="B33" s="222" t="str">
        <f>"De seguida clicar na Oferta "&amp;'Mota Engil 2024-2029'!B2</f>
        <v>De seguida clicar na Oferta Obrigações Mota-Engil 2029</v>
      </c>
    </row>
    <row r="34" spans="2:2" ht="18.75" x14ac:dyDescent="0.3">
      <c r="B34" s="222"/>
    </row>
    <row r="35" spans="2:2" ht="18.75" x14ac:dyDescent="0.3">
      <c r="B35" s="222"/>
    </row>
    <row r="36" spans="2:2" ht="18.75" x14ac:dyDescent="0.3">
      <c r="B36" s="222"/>
    </row>
    <row r="37" spans="2:2" ht="18.75" x14ac:dyDescent="0.3">
      <c r="B37" s="222"/>
    </row>
    <row r="38" spans="2:2" ht="18.75" x14ac:dyDescent="0.3">
      <c r="B38" s="222"/>
    </row>
    <row r="39" spans="2:2" ht="18.75" x14ac:dyDescent="0.3">
      <c r="B39" s="222"/>
    </row>
    <row r="40" spans="2:2" ht="18.75" x14ac:dyDescent="0.3">
      <c r="B40" s="222"/>
    </row>
    <row r="41" spans="2:2" ht="18.75" x14ac:dyDescent="0.3">
      <c r="B41" s="222"/>
    </row>
    <row r="42" spans="2:2" ht="18.75" x14ac:dyDescent="0.3">
      <c r="B42" s="222"/>
    </row>
    <row r="43" spans="2:2" ht="18.75" x14ac:dyDescent="0.3">
      <c r="B43" s="222"/>
    </row>
    <row r="44" spans="2:2" ht="18.75" x14ac:dyDescent="0.3">
      <c r="B44" s="222"/>
    </row>
    <row r="45" spans="2:2" ht="18.75" x14ac:dyDescent="0.3">
      <c r="B45" s="222" t="s">
        <v>293</v>
      </c>
    </row>
    <row r="51" spans="16:17" x14ac:dyDescent="0.25">
      <c r="Q51" s="292"/>
    </row>
    <row r="57" spans="16:17" x14ac:dyDescent="0.25">
      <c r="P57" s="274"/>
    </row>
    <row r="65" spans="2:16" x14ac:dyDescent="0.25">
      <c r="P65" s="274"/>
    </row>
    <row r="71" spans="2:16" ht="18.75" x14ac:dyDescent="0.3">
      <c r="B71" s="222" t="s">
        <v>294</v>
      </c>
    </row>
    <row r="78" spans="2:16" ht="18.75" x14ac:dyDescent="0.3">
      <c r="B78" s="222" t="s">
        <v>381</v>
      </c>
    </row>
    <row r="84" spans="2:14" ht="33.75" customHeight="1" x14ac:dyDescent="0.3">
      <c r="B84" s="546" t="s">
        <v>382</v>
      </c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</row>
    <row r="110" spans="2:2" ht="18.75" x14ac:dyDescent="0.3">
      <c r="B110" s="222" t="s">
        <v>367</v>
      </c>
    </row>
    <row r="134" spans="2:14" ht="18.75" x14ac:dyDescent="0.3">
      <c r="B134" s="222" t="s">
        <v>330</v>
      </c>
    </row>
    <row r="135" spans="2:14" ht="18.75" x14ac:dyDescent="0.3">
      <c r="B135" s="222" t="s">
        <v>328</v>
      </c>
    </row>
    <row r="137" spans="2:14" ht="18.75" x14ac:dyDescent="0.3">
      <c r="B137" s="222" t="s">
        <v>329</v>
      </c>
    </row>
    <row r="139" spans="2:14" ht="40.15" customHeight="1" x14ac:dyDescent="0.25"/>
    <row r="140" spans="2:14" ht="24.75" customHeight="1" x14ac:dyDescent="0.25"/>
    <row r="141" spans="2:14" ht="37.5" customHeight="1" x14ac:dyDescent="0.3">
      <c r="B141" s="546" t="s">
        <v>384</v>
      </c>
      <c r="C141" s="546"/>
      <c r="D141" s="546"/>
      <c r="E141" s="546"/>
      <c r="F141" s="546"/>
      <c r="G141" s="546"/>
      <c r="H141" s="546"/>
      <c r="I141" s="546"/>
      <c r="J141" s="546"/>
      <c r="K141" s="546"/>
      <c r="L141" s="546"/>
      <c r="M141" s="546"/>
      <c r="N141" s="546"/>
    </row>
    <row r="142" spans="2:14" ht="319.5" customHeight="1" x14ac:dyDescent="0.3">
      <c r="B142" s="332"/>
      <c r="C142" s="332"/>
      <c r="D142" s="332"/>
      <c r="E142" s="332"/>
      <c r="F142" s="332"/>
      <c r="G142" s="332"/>
      <c r="H142" s="332"/>
      <c r="I142" s="332"/>
      <c r="J142" s="332"/>
      <c r="K142" s="332"/>
      <c r="L142" s="332"/>
      <c r="M142" s="332"/>
      <c r="N142" s="332"/>
    </row>
    <row r="143" spans="2:14" x14ac:dyDescent="0.25">
      <c r="B143" s="127" t="s">
        <v>385</v>
      </c>
    </row>
    <row r="144" spans="2:14" ht="60.75" customHeight="1" x14ac:dyDescent="0.25"/>
    <row r="146" spans="2:14" ht="33" customHeight="1" x14ac:dyDescent="0.3">
      <c r="B146" s="546" t="s">
        <v>386</v>
      </c>
      <c r="C146" s="546"/>
      <c r="D146" s="546"/>
      <c r="E146" s="546"/>
      <c r="F146" s="546"/>
      <c r="G146" s="546"/>
      <c r="H146" s="546"/>
      <c r="I146" s="546"/>
      <c r="J146" s="546"/>
      <c r="K146" s="546"/>
      <c r="L146" s="546"/>
      <c r="M146" s="546"/>
      <c r="N146" s="546"/>
    </row>
    <row r="147" spans="2:14" ht="18.75" x14ac:dyDescent="0.3">
      <c r="B147" s="222" t="s">
        <v>383</v>
      </c>
    </row>
    <row r="171" spans="2:2" ht="18.75" x14ac:dyDescent="0.3">
      <c r="B171" s="222" t="s">
        <v>295</v>
      </c>
    </row>
    <row r="197" spans="2:2" ht="18.75" x14ac:dyDescent="0.3">
      <c r="B197" s="222" t="s">
        <v>296</v>
      </c>
    </row>
    <row r="226" spans="2:2" ht="18.75" x14ac:dyDescent="0.3">
      <c r="B226" s="222" t="s">
        <v>297</v>
      </c>
    </row>
    <row r="231" spans="2:2" ht="18.75" x14ac:dyDescent="0.3">
      <c r="B231" s="222" t="s">
        <v>298</v>
      </c>
    </row>
    <row r="259" spans="2:14" ht="18.75" x14ac:dyDescent="0.3">
      <c r="B259" s="222" t="s">
        <v>345</v>
      </c>
    </row>
    <row r="263" spans="2:14" ht="18.75" x14ac:dyDescent="0.3">
      <c r="B263" s="222" t="s">
        <v>299</v>
      </c>
    </row>
    <row r="267" spans="2:14" ht="23.25" x14ac:dyDescent="0.35">
      <c r="B267" s="547" t="s">
        <v>221</v>
      </c>
      <c r="C267" s="547"/>
      <c r="D267" s="547"/>
      <c r="E267" s="547"/>
      <c r="F267" s="547"/>
      <c r="G267" s="547"/>
      <c r="H267" s="547"/>
      <c r="I267" s="547"/>
      <c r="J267" s="547"/>
      <c r="K267" s="547"/>
      <c r="L267" s="547"/>
      <c r="M267" s="547"/>
      <c r="N267" s="547"/>
    </row>
  </sheetData>
  <sheetProtection algorithmName="SHA-512" hashValue="TWI5i8RmvMmmsGp0rQMQl/UO9v5Xt0bHANtg3ZdgnK34hvuFAhZ5txmHf4BeNG4ZuDDp4J8JKFfn/HW5NuWMkw==" saltValue="7V+9NYo09r3jildw/lfRig==" spinCount="100000" sheet="1" objects="1" scenarios="1"/>
  <mergeCells count="5">
    <mergeCell ref="B1:N2"/>
    <mergeCell ref="B84:N84"/>
    <mergeCell ref="B141:N141"/>
    <mergeCell ref="B267:N267"/>
    <mergeCell ref="B146:N146"/>
  </mergeCells>
  <pageMargins left="0.62992125984251968" right="0.23622047244094491" top="0.74803149606299213" bottom="0.74803149606299213" header="0.31496062992125984" footer="0.31496062992125984"/>
  <pageSetup paperSize="9" scale="75" orientation="portrait" r:id="rId1"/>
  <headerFooter>
    <oddFooter>Page &amp;P of &amp;N</oddFooter>
  </headerFooter>
  <rowBreaks count="5" manualBreakCount="5">
    <brk id="44" max="16383" man="1"/>
    <brk id="109" max="16383" man="1"/>
    <brk id="145" max="16383" man="1"/>
    <brk id="196" max="16383" man="1"/>
    <brk id="25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0D4A-F2F0-4D70-9A77-2B36285156D6}">
  <dimension ref="Q2:T4"/>
  <sheetViews>
    <sheetView zoomScaleNormal="100" workbookViewId="0">
      <selection activeCell="I4" sqref="I4"/>
    </sheetView>
  </sheetViews>
  <sheetFormatPr defaultRowHeight="15" x14ac:dyDescent="0.25"/>
  <sheetData>
    <row r="2" spans="17:20" x14ac:dyDescent="0.25">
      <c r="Q2" s="548" t="s">
        <v>108</v>
      </c>
      <c r="R2" s="549"/>
      <c r="S2" s="549"/>
      <c r="T2" s="550"/>
    </row>
    <row r="3" spans="17:20" x14ac:dyDescent="0.25">
      <c r="Q3" s="551" t="s">
        <v>344</v>
      </c>
      <c r="R3" s="552"/>
      <c r="S3" s="552"/>
      <c r="T3" s="553"/>
    </row>
    <row r="4" spans="17:20" x14ac:dyDescent="0.25">
      <c r="Q4" s="554" t="s">
        <v>212</v>
      </c>
      <c r="R4" s="555"/>
      <c r="S4" s="555"/>
      <c r="T4" s="556"/>
    </row>
  </sheetData>
  <sheetProtection algorithmName="SHA-512" hashValue="ErMj7C0omsSuo9Ax/cOhLYdCN3ahp3lDZgH5F4oVp8VZfYlsUdrXpHAEr0akgVToXQ+8qaZL/rY1neZ6Ht+zQA==" saltValue="4/mtXm2y/1EelXMGUOxNWw==" spinCount="100000" sheet="1" objects="1" scenarios="1"/>
  <mergeCells count="3">
    <mergeCell ref="Q2:T2"/>
    <mergeCell ref="Q3:T3"/>
    <mergeCell ref="Q4:T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da1356-8ade-4db3-abcb-e240a7acc9ac" xsi:nil="true"/>
    <lcf76f155ced4ddcb4097134ff3c332f xmlns="ad9151a5-5ce1-44c2-81b9-047e7f7c7db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8E38B1F9AD0D4B901C7CBDF4273B75" ma:contentTypeVersion="18" ma:contentTypeDescription="Create a new document." ma:contentTypeScope="" ma:versionID="be0a35929f7fa8ffe5b51991dd8ef0e5">
  <xsd:schema xmlns:xsd="http://www.w3.org/2001/XMLSchema" xmlns:xs="http://www.w3.org/2001/XMLSchema" xmlns:p="http://schemas.microsoft.com/office/2006/metadata/properties" xmlns:ns2="ad9151a5-5ce1-44c2-81b9-047e7f7c7db2" xmlns:ns3="09da1356-8ade-4db3-abcb-e240a7acc9ac" targetNamespace="http://schemas.microsoft.com/office/2006/metadata/properties" ma:root="true" ma:fieldsID="e5b28a5389506c83651d717b422db71a" ns2:_="" ns3:_="">
    <xsd:import namespace="ad9151a5-5ce1-44c2-81b9-047e7f7c7db2"/>
    <xsd:import namespace="09da1356-8ade-4db3-abcb-e240a7acc9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151a5-5ce1-44c2-81b9-047e7f7c7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339a6f6-1210-4c2e-8c4b-aec7677f0f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a1356-8ade-4db3-abcb-e240a7acc9a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47c004-3e03-4555-be4f-202a156ab080}" ma:internalName="TaxCatchAll" ma:showField="CatchAllData" ma:web="09da1356-8ade-4db3-abcb-e240a7acc9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489D2E-89C6-4D12-9087-60AD19272E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FAEC9C-5EFA-4B28-B805-DEF02E2E1914}">
  <ds:schemaRefs>
    <ds:schemaRef ds:uri="ad9151a5-5ce1-44c2-81b9-047e7f7c7db2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9da1356-8ade-4db3-abcb-e240a7acc9a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972E4EC-C726-4ABA-9539-700B85A0BB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9151a5-5ce1-44c2-81b9-047e7f7c7db2"/>
    <ds:schemaRef ds:uri="09da1356-8ade-4db3-abcb-e240a7acc9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173ef18-5bd6-4ad9-856c-fddba911a84f}" enabled="1" method="Standard" siteId="{cd49f469-eabf-4bb1-8520-4991392c368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FOLHA</vt:lpstr>
      <vt:lpstr>TIR</vt:lpstr>
      <vt:lpstr>Mota Engil 2024-2029</vt:lpstr>
      <vt:lpstr>Calendário</vt:lpstr>
      <vt:lpstr>Quadro de Rendibilidades</vt:lpstr>
      <vt:lpstr>Fluxograma</vt:lpstr>
      <vt:lpstr>Checklist</vt:lpstr>
      <vt:lpstr>CA Online</vt:lpstr>
      <vt:lpstr>Imagens</vt:lpstr>
      <vt:lpstr>Teste</vt:lpstr>
      <vt:lpstr>FOLHA (CAS)</vt:lpstr>
      <vt:lpstr>FOLHA (Online)</vt:lpstr>
      <vt:lpstr>FOLHA (Troca)</vt:lpstr>
      <vt:lpstr>Queri</vt:lpstr>
      <vt:lpstr>'CA Online'!Print_Area</vt:lpstr>
      <vt:lpstr>Calendário!Print_Area</vt:lpstr>
      <vt:lpstr>Checklist!Print_Area</vt:lpstr>
      <vt:lpstr>Fluxograma!Print_Area</vt:lpstr>
      <vt:lpstr>FOLHA!Print_Area</vt:lpstr>
      <vt:lpstr>'FOLHA (CAS)'!Print_Area</vt:lpstr>
      <vt:lpstr>'FOLHA (Online)'!Print_Area</vt:lpstr>
      <vt:lpstr>'FOLHA (Troca)'!Print_Area</vt:lpstr>
      <vt:lpstr>'Quadro de Rendibilidades'!Print_Area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Jorge Miguel Eliseu</cp:lastModifiedBy>
  <cp:lastPrinted>2024-09-26T08:47:57Z</cp:lastPrinted>
  <dcterms:created xsi:type="dcterms:W3CDTF">2016-04-25T08:32:30Z</dcterms:created>
  <dcterms:modified xsi:type="dcterms:W3CDTF">2024-09-27T09:29:48Z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0x010100E48E38B1F9AD0D4B901C7CBDF4273B75</vt:lpwstr>
  </property>
  <property fmtid="{D5CDD505-2E9C-101B-9397-08002B2CF9AE}" pid="3" name="MediaServiceImageTags">
    <vt:lpwstr/>
  </property>
  <property fmtid="{D5CDD505-2E9C-101B-9397-08002B2CF9AE}" pid="4" name="MSIP_Label_c173ef18-5bd6-4ad9-856c-fddba911a84f_Enabled">
    <vt:lpwstr>true</vt:lpwstr>
  </property>
  <property fmtid="{D5CDD505-2E9C-101B-9397-08002B2CF9AE}" pid="5" name="MSIP_Label_c173ef18-5bd6-4ad9-856c-fddba911a84f_SetDate">
    <vt:lpwstr>2023-12-01T10:17:03Z</vt:lpwstr>
  </property>
  <property fmtid="{D5CDD505-2E9C-101B-9397-08002B2CF9AE}" pid="6" name="MSIP_Label_c173ef18-5bd6-4ad9-856c-fddba911a84f_Method">
    <vt:lpwstr>Standard</vt:lpwstr>
  </property>
  <property fmtid="{D5CDD505-2E9C-101B-9397-08002B2CF9AE}" pid="7" name="MSIP_Label_c173ef18-5bd6-4ad9-856c-fddba911a84f_Name">
    <vt:lpwstr>c173ef18-5bd6-4ad9-856c-fddba911a84f</vt:lpwstr>
  </property>
  <property fmtid="{D5CDD505-2E9C-101B-9397-08002B2CF9AE}" pid="8" name="MSIP_Label_c173ef18-5bd6-4ad9-856c-fddba911a84f_SiteId">
    <vt:lpwstr>cd49f469-eabf-4bb1-8520-4991392c368b</vt:lpwstr>
  </property>
  <property fmtid="{D5CDD505-2E9C-101B-9397-08002B2CF9AE}" pid="9" name="MSIP_Label_c173ef18-5bd6-4ad9-856c-fddba911a84f_ActionId">
    <vt:lpwstr>26a752c4-aba2-4d21-b96d-ccd4aaf228b4</vt:lpwstr>
  </property>
  <property fmtid="{D5CDD505-2E9C-101B-9397-08002B2CF9AE}" pid="10" name="MSIP_Label_c173ef18-5bd6-4ad9-856c-fddba911a84f_ContentBits">
    <vt:lpwstr>0</vt:lpwstr>
  </property>
</Properties>
</file>